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ohn\Desktop\WeeklyLabourCOGS\"/>
    </mc:Choice>
  </mc:AlternateContent>
  <xr:revisionPtr revIDLastSave="0" documentId="13_ncr:1_{66A77A27-57FC-41F9-AE2C-CE5D2CFABC3C}" xr6:coauthVersionLast="47" xr6:coauthVersionMax="47" xr10:uidLastSave="{00000000-0000-0000-0000-000000000000}"/>
  <bookViews>
    <workbookView xWindow="-110" yWindow="-110" windowWidth="19420" windowHeight="10300" tabRatio="604" xr2:uid="{1D872297-64CF-48D7-8698-4B294635C342}"/>
  </bookViews>
  <sheets>
    <sheet name="2025 Sales &amp; Cogs" sheetId="29" r:id="rId1"/>
  </sheets>
  <externalReferences>
    <externalReference r:id="rId2"/>
    <externalReference r:id="rId3"/>
  </externalReferences>
  <definedNames>
    <definedName name="bxConsolidatedReporting" hidden="1">INDIRECT("Sheet1!Status")</definedName>
    <definedName name="bxFMIOntarioUSFranchiseIncLLC" hidden="1">[1]Sheet1!Mapping</definedName>
    <definedName name="IndirectPeriod">'[2]#eggery'!$H$13:$I$25</definedName>
    <definedName name="SelectedPeriod">'[2]_Store P&amp;L'!$C$7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0" i="29" l="1"/>
  <c r="M90" i="29"/>
  <c r="L90" i="29"/>
  <c r="K90" i="29"/>
  <c r="J90" i="29"/>
  <c r="I90" i="29"/>
  <c r="H90" i="29"/>
  <c r="G90" i="29"/>
  <c r="F90" i="29"/>
  <c r="E90" i="29"/>
  <c r="D90" i="29"/>
  <c r="C90" i="29"/>
  <c r="B90" i="29"/>
  <c r="N85" i="29"/>
  <c r="M85" i="29"/>
  <c r="L85" i="29"/>
  <c r="K85" i="29"/>
  <c r="J85" i="29"/>
  <c r="I85" i="29"/>
  <c r="H85" i="29"/>
  <c r="G85" i="29"/>
  <c r="F85" i="29"/>
  <c r="E85" i="29"/>
  <c r="D85" i="29"/>
  <c r="C85" i="29"/>
  <c r="B85" i="29"/>
  <c r="N57" i="29"/>
  <c r="M57" i="29"/>
  <c r="L57" i="29"/>
  <c r="K57" i="29"/>
  <c r="J57" i="29"/>
  <c r="I57" i="29"/>
  <c r="H57" i="29"/>
  <c r="G57" i="29"/>
  <c r="F57" i="29"/>
  <c r="E57" i="29"/>
  <c r="D57" i="29"/>
  <c r="C57" i="29"/>
  <c r="B57" i="29"/>
  <c r="N52" i="29"/>
  <c r="M52" i="29"/>
  <c r="L52" i="29"/>
  <c r="K52" i="29"/>
  <c r="J52" i="29"/>
  <c r="I52" i="29"/>
  <c r="H52" i="29"/>
  <c r="G52" i="29"/>
  <c r="F52" i="29"/>
  <c r="E52" i="29"/>
  <c r="D52" i="29"/>
  <c r="C52" i="29"/>
  <c r="B52" i="29"/>
  <c r="N45" i="29"/>
  <c r="M45" i="29"/>
  <c r="L45" i="29"/>
  <c r="K45" i="29"/>
  <c r="J45" i="29"/>
  <c r="I45" i="29"/>
  <c r="H45" i="29"/>
  <c r="G45" i="29"/>
  <c r="F45" i="29"/>
  <c r="E45" i="29"/>
  <c r="D45" i="29"/>
  <c r="C45" i="29"/>
  <c r="B45" i="29"/>
  <c r="H13" i="29"/>
  <c r="F13" i="29"/>
  <c r="G13" i="29"/>
  <c r="D13" i="29"/>
  <c r="N13" i="29"/>
  <c r="M13" i="29"/>
  <c r="L13" i="29"/>
  <c r="E13" i="29"/>
  <c r="K13" i="29"/>
  <c r="J13" i="29"/>
  <c r="I13" i="29"/>
  <c r="E39" i="29" l="1"/>
  <c r="E40" i="29" s="1"/>
  <c r="F39" i="29"/>
  <c r="D39" i="29"/>
  <c r="C39" i="29"/>
  <c r="B39" i="29"/>
  <c r="H39" i="29"/>
  <c r="G39" i="29"/>
  <c r="K39" i="29"/>
  <c r="J39" i="29"/>
  <c r="I39" i="29"/>
  <c r="L39" i="29"/>
  <c r="M39" i="29"/>
  <c r="B26" i="29"/>
  <c r="B25" i="29"/>
  <c r="E31" i="29"/>
  <c r="C31" i="29"/>
  <c r="B32" i="29"/>
  <c r="C13" i="29"/>
  <c r="C27" i="29"/>
  <c r="D27" i="29"/>
  <c r="E27" i="29"/>
  <c r="F27" i="29"/>
  <c r="G27" i="29"/>
  <c r="H27" i="29"/>
  <c r="I27" i="29"/>
  <c r="J27" i="29"/>
  <c r="K27" i="29"/>
  <c r="L27" i="29"/>
  <c r="M27" i="29"/>
  <c r="N27" i="29"/>
  <c r="B27" i="29"/>
  <c r="C12" i="29" l="1"/>
  <c r="C14" i="29" s="1"/>
  <c r="D12" i="29"/>
  <c r="D14" i="29" s="1"/>
  <c r="E12" i="29"/>
  <c r="F12" i="29"/>
  <c r="G12" i="29"/>
  <c r="H12" i="29"/>
  <c r="I12" i="29"/>
  <c r="J12" i="29"/>
  <c r="K12" i="29"/>
  <c r="L12" i="29"/>
  <c r="M12" i="29"/>
  <c r="B18" i="29"/>
  <c r="C18" i="29"/>
  <c r="D18" i="29"/>
  <c r="E18" i="29"/>
  <c r="F18" i="29"/>
  <c r="G18" i="29"/>
  <c r="H18" i="29"/>
  <c r="C62" i="29"/>
  <c r="D62" i="29"/>
  <c r="E62" i="29"/>
  <c r="F62" i="29"/>
  <c r="G62" i="29"/>
  <c r="H62" i="29"/>
  <c r="I62" i="29"/>
  <c r="J62" i="29"/>
  <c r="K62" i="29"/>
  <c r="L62" i="29"/>
  <c r="M62" i="29"/>
  <c r="N62" i="29"/>
  <c r="B62" i="29"/>
  <c r="C55" i="29"/>
  <c r="C56" i="29" s="1"/>
  <c r="D55" i="29"/>
  <c r="D56" i="29" s="1"/>
  <c r="E55" i="29"/>
  <c r="E56" i="29" s="1"/>
  <c r="F55" i="29"/>
  <c r="F56" i="29" s="1"/>
  <c r="G55" i="29"/>
  <c r="G56" i="29" s="1"/>
  <c r="H55" i="29"/>
  <c r="H56" i="29" s="1"/>
  <c r="I55" i="29"/>
  <c r="I56" i="29" s="1"/>
  <c r="J55" i="29"/>
  <c r="J56" i="29" s="1"/>
  <c r="K55" i="29"/>
  <c r="K56" i="29" s="1"/>
  <c r="L55" i="29"/>
  <c r="L56" i="29" s="1"/>
  <c r="M55" i="29"/>
  <c r="M56" i="29" s="1"/>
  <c r="N55" i="29"/>
  <c r="N56" i="29" s="1"/>
  <c r="B55" i="29"/>
  <c r="B56" i="29" s="1"/>
  <c r="C50" i="29"/>
  <c r="D50" i="29"/>
  <c r="E50" i="29"/>
  <c r="F50" i="29"/>
  <c r="G50" i="29"/>
  <c r="H50" i="29"/>
  <c r="I50" i="29"/>
  <c r="J50" i="29"/>
  <c r="K50" i="29"/>
  <c r="L50" i="29"/>
  <c r="M50" i="29"/>
  <c r="N50" i="29"/>
  <c r="B50" i="29"/>
  <c r="I37" i="29"/>
  <c r="I38" i="29" s="1"/>
  <c r="J37" i="29"/>
  <c r="J38" i="29" s="1"/>
  <c r="G63" i="29" l="1"/>
  <c r="G64" i="29"/>
  <c r="N63" i="29"/>
  <c r="N64" i="29"/>
  <c r="D20" i="29"/>
  <c r="D19" i="29"/>
  <c r="M63" i="29"/>
  <c r="M64" i="29"/>
  <c r="C20" i="29"/>
  <c r="C19" i="29"/>
  <c r="L63" i="29"/>
  <c r="L64" i="29"/>
  <c r="D64" i="29"/>
  <c r="D63" i="29"/>
  <c r="B20" i="29"/>
  <c r="B19" i="29"/>
  <c r="K64" i="29"/>
  <c r="K63" i="29"/>
  <c r="C64" i="29"/>
  <c r="C63" i="29"/>
  <c r="B63" i="29"/>
  <c r="B64" i="29"/>
  <c r="E20" i="29"/>
  <c r="E19" i="29"/>
  <c r="F63" i="29"/>
  <c r="F64" i="29"/>
  <c r="E63" i="29"/>
  <c r="E64" i="29"/>
  <c r="J63" i="29"/>
  <c r="J64" i="29"/>
  <c r="H20" i="29"/>
  <c r="H19" i="29"/>
  <c r="I64" i="29"/>
  <c r="I63" i="29"/>
  <c r="G19" i="29"/>
  <c r="G20" i="29"/>
  <c r="H63" i="29"/>
  <c r="H64" i="29"/>
  <c r="F20" i="29"/>
  <c r="F19" i="29"/>
  <c r="C25" i="29"/>
  <c r="C26" i="29" s="1"/>
  <c r="D25" i="29"/>
  <c r="D26" i="29" s="1"/>
  <c r="E25" i="29"/>
  <c r="E26" i="29" s="1"/>
  <c r="F25" i="29"/>
  <c r="F26" i="29" s="1"/>
  <c r="G25" i="29"/>
  <c r="G26" i="29" s="1"/>
  <c r="H25" i="29"/>
  <c r="H26" i="29" s="1"/>
  <c r="I25" i="29"/>
  <c r="I26" i="29" s="1"/>
  <c r="J25" i="29"/>
  <c r="J26" i="29" s="1"/>
  <c r="K25" i="29"/>
  <c r="K26" i="29" s="1"/>
  <c r="L25" i="29"/>
  <c r="L26" i="29" s="1"/>
  <c r="M25" i="29"/>
  <c r="M26" i="29" s="1"/>
  <c r="N25" i="29"/>
  <c r="N26" i="29" s="1"/>
  <c r="I18" i="29"/>
  <c r="J18" i="29"/>
  <c r="K18" i="29"/>
  <c r="L18" i="29"/>
  <c r="M18" i="29"/>
  <c r="N18" i="29"/>
  <c r="J19" i="29" l="1"/>
  <c r="J20" i="29"/>
  <c r="N19" i="29"/>
  <c r="N20" i="29"/>
  <c r="K19" i="29"/>
  <c r="K20" i="29"/>
  <c r="I20" i="29"/>
  <c r="I19" i="29"/>
  <c r="M20" i="29"/>
  <c r="M19" i="29"/>
  <c r="L19" i="29"/>
  <c r="L20" i="29"/>
  <c r="H76" i="29"/>
  <c r="I76" i="29"/>
  <c r="J76" i="29"/>
  <c r="E37" i="29"/>
  <c r="E38" i="29" s="1"/>
  <c r="F37" i="29"/>
  <c r="F38" i="29" s="1"/>
  <c r="C37" i="29"/>
  <c r="C38" i="29" s="1"/>
  <c r="B37" i="29"/>
  <c r="B38" i="29" s="1"/>
  <c r="H37" i="29"/>
  <c r="H38" i="29" s="1"/>
  <c r="G37" i="29"/>
  <c r="G38" i="29" s="1"/>
  <c r="K37" i="29"/>
  <c r="K38" i="29" s="1"/>
  <c r="L37" i="29"/>
  <c r="L38" i="29" s="1"/>
  <c r="M37" i="29"/>
  <c r="M38" i="29" s="1"/>
  <c r="N37" i="29"/>
  <c r="N38" i="29" s="1"/>
  <c r="N43" i="29"/>
  <c r="N44" i="29" s="1"/>
  <c r="M43" i="29"/>
  <c r="M44" i="29" s="1"/>
  <c r="L43" i="29"/>
  <c r="L44" i="29" s="1"/>
  <c r="K43" i="29"/>
  <c r="K44" i="29" s="1"/>
  <c r="J43" i="29"/>
  <c r="J44" i="29" s="1"/>
  <c r="I43" i="29"/>
  <c r="I44" i="29" s="1"/>
  <c r="H43" i="29"/>
  <c r="H44" i="29" s="1"/>
  <c r="G43" i="29"/>
  <c r="G44" i="29" s="1"/>
  <c r="F43" i="29"/>
  <c r="F44" i="29" s="1"/>
  <c r="E43" i="29"/>
  <c r="E44" i="29" s="1"/>
  <c r="D43" i="29"/>
  <c r="D44" i="29" s="1"/>
  <c r="B43" i="29"/>
  <c r="B44" i="29" s="1"/>
  <c r="C43" i="29"/>
  <c r="C44" i="29" s="1"/>
  <c r="H78" i="29" l="1"/>
  <c r="H77" i="29"/>
  <c r="J6" i="29"/>
  <c r="J77" i="29"/>
  <c r="J78" i="29"/>
  <c r="I78" i="29"/>
  <c r="I77" i="29"/>
  <c r="J5" i="29"/>
  <c r="J7" i="29" s="1"/>
  <c r="K6" i="29" l="1"/>
  <c r="L6" i="29"/>
  <c r="M6" i="29"/>
  <c r="N6" i="29"/>
  <c r="K5" i="29"/>
  <c r="K7" i="29" s="1"/>
  <c r="L5" i="29"/>
  <c r="L7" i="29" s="1"/>
  <c r="M5" i="29"/>
  <c r="M7" i="29" s="1"/>
  <c r="N5" i="29"/>
  <c r="N7" i="29" s="1"/>
  <c r="M30" i="29"/>
  <c r="N11" i="29"/>
  <c r="B11" i="29"/>
  <c r="E83" i="29"/>
  <c r="B13" i="29" l="1"/>
  <c r="B6" i="29"/>
  <c r="M31" i="29"/>
  <c r="M32" i="29"/>
  <c r="C6" i="29"/>
  <c r="G6" i="29"/>
  <c r="H6" i="29"/>
  <c r="N12" i="29"/>
  <c r="N14" i="29"/>
  <c r="I6" i="29"/>
  <c r="D6" i="29"/>
  <c r="E6" i="29"/>
  <c r="F6" i="29"/>
  <c r="M14" i="29"/>
  <c r="F14" i="29"/>
  <c r="I14" i="29"/>
  <c r="L14" i="29"/>
  <c r="E14" i="29"/>
  <c r="G14" i="29"/>
  <c r="K14" i="29"/>
  <c r="B12" i="29"/>
  <c r="C5" i="29"/>
  <c r="C7" i="29" s="1"/>
  <c r="D5" i="29"/>
  <c r="D7" i="29" s="1"/>
  <c r="E5" i="29"/>
  <c r="E7" i="29" s="1"/>
  <c r="F5" i="29"/>
  <c r="F7" i="29" s="1"/>
  <c r="G5" i="29"/>
  <c r="G7" i="29" s="1"/>
  <c r="H5" i="29"/>
  <c r="H7" i="29" s="1"/>
  <c r="I5" i="29"/>
  <c r="I7" i="29" s="1"/>
  <c r="B5" i="29"/>
  <c r="B7" i="29" s="1"/>
  <c r="N88" i="29"/>
  <c r="N89" i="29" s="1"/>
  <c r="M88" i="29"/>
  <c r="M89" i="29" s="1"/>
  <c r="L88" i="29"/>
  <c r="L89" i="29" s="1"/>
  <c r="K88" i="29"/>
  <c r="K89" i="29" s="1"/>
  <c r="J88" i="29"/>
  <c r="J89" i="29" s="1"/>
  <c r="I88" i="29"/>
  <c r="I89" i="29" s="1"/>
  <c r="H88" i="29"/>
  <c r="H89" i="29" s="1"/>
  <c r="G88" i="29"/>
  <c r="G89" i="29" s="1"/>
  <c r="F88" i="29"/>
  <c r="F89" i="29" s="1"/>
  <c r="E88" i="29"/>
  <c r="E89" i="29" s="1"/>
  <c r="D88" i="29"/>
  <c r="D89" i="29" s="1"/>
  <c r="C88" i="29"/>
  <c r="C89" i="29" s="1"/>
  <c r="B88" i="29"/>
  <c r="B89" i="29" s="1"/>
  <c r="N83" i="29"/>
  <c r="M83" i="29"/>
  <c r="L83" i="29"/>
  <c r="K83" i="29"/>
  <c r="J83" i="29"/>
  <c r="I83" i="29"/>
  <c r="H83" i="29"/>
  <c r="G83" i="29"/>
  <c r="F83" i="29"/>
  <c r="D83" i="29"/>
  <c r="C83" i="29"/>
  <c r="B83" i="29"/>
  <c r="N76" i="29"/>
  <c r="M76" i="29"/>
  <c r="L76" i="29"/>
  <c r="K76" i="29"/>
  <c r="G76" i="29"/>
  <c r="F76" i="29"/>
  <c r="E76" i="29"/>
  <c r="D76" i="29"/>
  <c r="C76" i="29"/>
  <c r="B76" i="29"/>
  <c r="N69" i="29"/>
  <c r="M69" i="29"/>
  <c r="L69" i="29"/>
  <c r="K69" i="29"/>
  <c r="J69" i="29"/>
  <c r="I69" i="29"/>
  <c r="H69" i="29"/>
  <c r="G69" i="29"/>
  <c r="G70" i="29" s="1"/>
  <c r="F69" i="29"/>
  <c r="F70" i="29" s="1"/>
  <c r="E69" i="29"/>
  <c r="D69" i="29"/>
  <c r="C69" i="29"/>
  <c r="B69" i="29"/>
  <c r="N39" i="29"/>
  <c r="D37" i="29"/>
  <c r="N30" i="29"/>
  <c r="L30" i="29"/>
  <c r="K30" i="29"/>
  <c r="J30" i="29"/>
  <c r="I30" i="29"/>
  <c r="H30" i="29"/>
  <c r="G30" i="29"/>
  <c r="F30" i="29"/>
  <c r="E30" i="29"/>
  <c r="D30" i="29"/>
  <c r="C30" i="29"/>
  <c r="B30" i="29"/>
  <c r="B14" i="29" l="1"/>
  <c r="D70" i="29"/>
  <c r="D71" i="29"/>
  <c r="L77" i="29"/>
  <c r="L78" i="29"/>
  <c r="I31" i="29"/>
  <c r="I32" i="29"/>
  <c r="I70" i="29"/>
  <c r="I71" i="29"/>
  <c r="D77" i="29"/>
  <c r="D78" i="29"/>
  <c r="B70" i="29"/>
  <c r="B71" i="29"/>
  <c r="E77" i="29"/>
  <c r="E78" i="29"/>
  <c r="C32" i="29"/>
  <c r="K70" i="29"/>
  <c r="K71" i="29"/>
  <c r="E32" i="29"/>
  <c r="N32" i="29"/>
  <c r="N31" i="29"/>
  <c r="E70" i="29"/>
  <c r="E71" i="29"/>
  <c r="M70" i="29"/>
  <c r="M71" i="29"/>
  <c r="K77" i="29"/>
  <c r="K78" i="29"/>
  <c r="B31" i="29"/>
  <c r="J70" i="29"/>
  <c r="J71" i="29"/>
  <c r="C70" i="29"/>
  <c r="C71" i="29"/>
  <c r="L31" i="29"/>
  <c r="L32" i="29"/>
  <c r="L70" i="29"/>
  <c r="L71" i="29"/>
  <c r="F32" i="29"/>
  <c r="F31" i="29"/>
  <c r="G32" i="29"/>
  <c r="G31" i="29"/>
  <c r="B77" i="29"/>
  <c r="B78" i="29"/>
  <c r="M78" i="29"/>
  <c r="M77" i="29"/>
  <c r="J31" i="29"/>
  <c r="J32" i="29"/>
  <c r="K32" i="29"/>
  <c r="K31" i="29"/>
  <c r="F78" i="29"/>
  <c r="F77" i="29"/>
  <c r="D31" i="29"/>
  <c r="D32" i="29"/>
  <c r="G77" i="29"/>
  <c r="G78" i="29"/>
  <c r="N71" i="29"/>
  <c r="N70" i="29"/>
  <c r="H32" i="29"/>
  <c r="H31" i="29"/>
  <c r="H71" i="29"/>
  <c r="H70" i="29"/>
  <c r="C78" i="29"/>
  <c r="C77" i="29"/>
  <c r="N77" i="29"/>
  <c r="N78" i="29"/>
  <c r="F71" i="29"/>
  <c r="G71" i="29"/>
  <c r="H14" i="29"/>
  <c r="J14" i="29"/>
  <c r="D38" i="29"/>
  <c r="O50" i="29"/>
  <c r="L84" i="29" l="1"/>
  <c r="K84" i="29"/>
  <c r="J84" i="29"/>
  <c r="I84" i="29"/>
  <c r="H84" i="29"/>
  <c r="O83" i="29"/>
  <c r="D84" i="29"/>
  <c r="C84" i="29"/>
  <c r="F65" i="29"/>
  <c r="O62" i="29"/>
  <c r="K51" i="29"/>
  <c r="J51" i="29"/>
  <c r="I51" i="29"/>
  <c r="H51" i="29"/>
  <c r="G51" i="29"/>
  <c r="E51" i="29"/>
  <c r="H40" i="29"/>
  <c r="L40" i="29"/>
  <c r="J40" i="29"/>
  <c r="D40" i="29"/>
  <c r="C40" i="29"/>
  <c r="D79" i="29"/>
  <c r="O75" i="29"/>
  <c r="N21" i="29"/>
  <c r="M21" i="29"/>
  <c r="L21" i="29"/>
  <c r="K21" i="29"/>
  <c r="F21" i="29"/>
  <c r="E21" i="29"/>
  <c r="D21" i="29"/>
  <c r="C21" i="29"/>
  <c r="B21" i="29"/>
  <c r="O68" i="29"/>
  <c r="O87" i="29"/>
  <c r="N84" i="29"/>
  <c r="M84" i="29"/>
  <c r="F84" i="29"/>
  <c r="E84" i="29"/>
  <c r="B84" i="29"/>
  <c r="O82" i="29"/>
  <c r="O54" i="29"/>
  <c r="N51" i="29"/>
  <c r="M51" i="29"/>
  <c r="L51" i="29"/>
  <c r="F51" i="29"/>
  <c r="D51" i="29"/>
  <c r="B51" i="29"/>
  <c r="O61" i="29"/>
  <c r="O49" i="29"/>
  <c r="O42" i="29"/>
  <c r="O36" i="29"/>
  <c r="O29" i="29"/>
  <c r="O24" i="29"/>
  <c r="O17" i="29"/>
  <c r="O10" i="29"/>
  <c r="O3" i="29"/>
  <c r="O11" i="29"/>
  <c r="O4" i="29"/>
  <c r="E65" i="29" l="1"/>
  <c r="N79" i="29"/>
  <c r="L33" i="29"/>
  <c r="N33" i="29"/>
  <c r="F33" i="29"/>
  <c r="M79" i="29"/>
  <c r="L79" i="29"/>
  <c r="B65" i="29"/>
  <c r="K72" i="29"/>
  <c r="J79" i="29"/>
  <c r="C91" i="29"/>
  <c r="E91" i="29"/>
  <c r="L91" i="29"/>
  <c r="G91" i="29"/>
  <c r="M91" i="29"/>
  <c r="I91" i="29"/>
  <c r="N91" i="29"/>
  <c r="H91" i="29"/>
  <c r="J91" i="29"/>
  <c r="D91" i="29"/>
  <c r="K91" i="29"/>
  <c r="E86" i="29"/>
  <c r="L86" i="29"/>
  <c r="F86" i="29"/>
  <c r="C86" i="29"/>
  <c r="M86" i="29"/>
  <c r="N86" i="29"/>
  <c r="K86" i="29"/>
  <c r="H86" i="29"/>
  <c r="B86" i="29"/>
  <c r="I86" i="29"/>
  <c r="J86" i="29"/>
  <c r="K79" i="29"/>
  <c r="F79" i="29"/>
  <c r="C79" i="29"/>
  <c r="E79" i="29"/>
  <c r="F72" i="29"/>
  <c r="L72" i="29"/>
  <c r="M72" i="29"/>
  <c r="C72" i="29"/>
  <c r="N72" i="29"/>
  <c r="D72" i="29"/>
  <c r="B72" i="29"/>
  <c r="E72" i="29"/>
  <c r="K65" i="29"/>
  <c r="M65" i="29"/>
  <c r="N65" i="29"/>
  <c r="L65" i="29"/>
  <c r="D65" i="29"/>
  <c r="C58" i="29"/>
  <c r="D58" i="29"/>
  <c r="L58" i="29"/>
  <c r="H58" i="29"/>
  <c r="E58" i="29"/>
  <c r="M58" i="29"/>
  <c r="I58" i="29"/>
  <c r="N58" i="29"/>
  <c r="J58" i="29"/>
  <c r="B58" i="29"/>
  <c r="K58" i="29"/>
  <c r="E53" i="29"/>
  <c r="N53" i="29"/>
  <c r="H53" i="29"/>
  <c r="M53" i="29"/>
  <c r="D53" i="29"/>
  <c r="I53" i="29"/>
  <c r="F53" i="29"/>
  <c r="J53" i="29"/>
  <c r="G53" i="29"/>
  <c r="L53" i="29"/>
  <c r="K53" i="29"/>
  <c r="F46" i="29"/>
  <c r="J46" i="29"/>
  <c r="G46" i="29"/>
  <c r="L46" i="29"/>
  <c r="M33" i="29"/>
  <c r="H46" i="29"/>
  <c r="I46" i="29"/>
  <c r="K46" i="29"/>
  <c r="B46" i="29"/>
  <c r="M46" i="29"/>
  <c r="E46" i="29"/>
  <c r="N46" i="29"/>
  <c r="D46" i="29"/>
  <c r="C46" i="29"/>
  <c r="N40" i="29"/>
  <c r="M28" i="29"/>
  <c r="M40" i="29"/>
  <c r="E33" i="29"/>
  <c r="G28" i="29"/>
  <c r="H28" i="29"/>
  <c r="F28" i="29"/>
  <c r="D28" i="29"/>
  <c r="N28" i="29"/>
  <c r="O55" i="29"/>
  <c r="G40" i="29"/>
  <c r="O37" i="29"/>
  <c r="F40" i="29"/>
  <c r="B40" i="29"/>
  <c r="L28" i="29"/>
  <c r="E28" i="29"/>
  <c r="K33" i="29"/>
  <c r="D33" i="29"/>
  <c r="C33" i="29"/>
  <c r="B33" i="29"/>
  <c r="O25" i="29"/>
  <c r="O88" i="29"/>
  <c r="G84" i="29"/>
  <c r="G79" i="29"/>
  <c r="H79" i="29"/>
  <c r="O76" i="29"/>
  <c r="I79" i="29"/>
  <c r="O78" i="29"/>
  <c r="G72" i="29"/>
  <c r="H72" i="29"/>
  <c r="O69" i="29"/>
  <c r="J72" i="29"/>
  <c r="H65" i="29"/>
  <c r="I65" i="29"/>
  <c r="C65" i="29"/>
  <c r="J65" i="29"/>
  <c r="C51" i="29"/>
  <c r="I40" i="29"/>
  <c r="K40" i="29"/>
  <c r="O44" i="29"/>
  <c r="O43" i="29"/>
  <c r="G33" i="29"/>
  <c r="I33" i="29"/>
  <c r="H33" i="29"/>
  <c r="O30" i="29"/>
  <c r="J33" i="29"/>
  <c r="I28" i="29"/>
  <c r="J28" i="29"/>
  <c r="K28" i="29"/>
  <c r="B28" i="29"/>
  <c r="C28" i="29"/>
  <c r="H21" i="29"/>
  <c r="I21" i="29"/>
  <c r="G21" i="29"/>
  <c r="J21" i="29"/>
  <c r="O18" i="29"/>
  <c r="B53" i="29"/>
  <c r="O89" i="29"/>
  <c r="D86" i="29"/>
  <c r="F58" i="29"/>
  <c r="O5" i="29"/>
  <c r="O13" i="29"/>
  <c r="Q13" i="29" s="1"/>
  <c r="O12" i="29"/>
  <c r="O6" i="29"/>
  <c r="O7" i="29" l="1"/>
  <c r="O14" i="29"/>
  <c r="F91" i="29"/>
  <c r="O85" i="29"/>
  <c r="B79" i="29"/>
  <c r="O70" i="29"/>
  <c r="I72" i="29"/>
  <c r="O63" i="29"/>
  <c r="G65" i="29"/>
  <c r="O57" i="29"/>
  <c r="O52" i="29"/>
  <c r="O84" i="29"/>
  <c r="O45" i="29"/>
  <c r="O46" i="29" s="1"/>
  <c r="O56" i="29"/>
  <c r="O77" i="29"/>
  <c r="O79" i="29" s="1"/>
  <c r="O71" i="29"/>
  <c r="O51" i="29"/>
  <c r="O38" i="29"/>
  <c r="O26" i="29"/>
  <c r="O31" i="29"/>
  <c r="O32" i="29"/>
  <c r="O64" i="29"/>
  <c r="O27" i="29"/>
  <c r="O20" i="29"/>
  <c r="O19" i="29"/>
  <c r="G58" i="29" l="1"/>
  <c r="O72" i="29"/>
  <c r="G86" i="29"/>
  <c r="O86" i="29"/>
  <c r="C53" i="29"/>
  <c r="O58" i="29"/>
  <c r="O65" i="29"/>
  <c r="O53" i="29"/>
  <c r="O33" i="29"/>
  <c r="O28" i="29"/>
  <c r="O21" i="29"/>
  <c r="O39" i="29"/>
  <c r="Q39" i="29" s="1"/>
  <c r="O40" i="29" l="1"/>
  <c r="O90" i="29" l="1"/>
  <c r="O91" i="29" s="1"/>
  <c r="B91" i="29"/>
</calcChain>
</file>

<file path=xl/sharedStrings.xml><?xml version="1.0" encoding="utf-8"?>
<sst xmlns="http://schemas.openxmlformats.org/spreadsheetml/2006/main" count="299" uniqueCount="69">
  <si>
    <t>Coldbrook</t>
  </si>
  <si>
    <t>Mactaquac</t>
  </si>
  <si>
    <t>Zealand</t>
  </si>
  <si>
    <t>Pizza Shack</t>
  </si>
  <si>
    <t>Lepreau</t>
  </si>
  <si>
    <t>Mountain Road</t>
  </si>
  <si>
    <t>Doaktown</t>
  </si>
  <si>
    <t>Robin's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</si>
  <si>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</si>
  <si>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</si>
  <si>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</si>
  <si>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</si>
  <si>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</si>
  <si>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</si>
  <si>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</si>
  <si>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</si>
  <si>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</si>
  <si>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</si>
  <si>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</si>
  <si>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</si>
  <si>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P13</t>
  </si>
  <si>
    <t>YTD</t>
  </si>
  <si>
    <t>Cog's 39%</t>
  </si>
  <si>
    <t>Cog's 44%</t>
  </si>
  <si>
    <t>Cog's 40%</t>
  </si>
  <si>
    <t>Cog's 26.5%</t>
  </si>
  <si>
    <t>Labour 31.5%</t>
  </si>
  <si>
    <t>Sales 2024 PS</t>
  </si>
  <si>
    <t>Sales 2024 ISP</t>
  </si>
  <si>
    <t>Sales 2025 PS</t>
  </si>
  <si>
    <t>Sales 2025 ISP</t>
  </si>
  <si>
    <t xml:space="preserve">Harvey </t>
  </si>
  <si>
    <t>Pizza Shack PS</t>
  </si>
  <si>
    <t>Sales 2024 FP</t>
  </si>
  <si>
    <t>Sales 2025 FP</t>
  </si>
  <si>
    <t>Sales 2024 SB</t>
  </si>
  <si>
    <t>Sales 2025 SB</t>
  </si>
  <si>
    <t xml:space="preserve">Coldbrook </t>
  </si>
  <si>
    <t>Sales 2024 Denny's</t>
  </si>
  <si>
    <t>Sales 2025 Denny's</t>
  </si>
  <si>
    <t>Sales 2024 PS/ISP</t>
  </si>
  <si>
    <t>Sales 2025 PS/ISP</t>
  </si>
  <si>
    <t>Sales 2024 Robin's</t>
  </si>
  <si>
    <t>Sales 2025 Robin's</t>
  </si>
  <si>
    <t>Sales 2024 A&amp;W</t>
  </si>
  <si>
    <t>Sales 2025 A&amp;W</t>
  </si>
  <si>
    <t>Shediac Road</t>
  </si>
  <si>
    <t>Cog's 41%</t>
  </si>
  <si>
    <t>Gross Profit</t>
  </si>
  <si>
    <t>Lepreau -1%</t>
  </si>
  <si>
    <t>Sales 2024 PS/ISP +</t>
  </si>
  <si>
    <t xml:space="preserve">   </t>
  </si>
  <si>
    <t>Long's Creek</t>
  </si>
  <si>
    <t>Labour 28%</t>
  </si>
  <si>
    <t>Cog's 35%</t>
  </si>
  <si>
    <t>Labour 29%</t>
  </si>
  <si>
    <t>Woodstock</t>
  </si>
  <si>
    <t>.</t>
  </si>
  <si>
    <t>Cog's 27.5%</t>
  </si>
  <si>
    <t>Labour 28.5%</t>
  </si>
  <si>
    <t xml:space="preserve">P1 </t>
  </si>
  <si>
    <t>Labour 40%</t>
  </si>
  <si>
    <t>Labour 37%*</t>
  </si>
  <si>
    <t>Labour 29.5%</t>
  </si>
  <si>
    <t>Cog's 36%</t>
  </si>
  <si>
    <t>Labour 36%*</t>
  </si>
  <si>
    <t xml:space="preserve">Labour 31.33% </t>
  </si>
  <si>
    <t>Labour 36.5%*</t>
  </si>
  <si>
    <t>Labour 37%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</si>
</sst>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4"/>
      <color theme="2"/>
      <name val="Calibri"/>
      <family val="2"/>
      <scheme val="minor"/>
    </font>
    <font>
      <sz val="14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10" fillId="7" borderId="4" applyNumberFormat="0" applyAlignment="0" applyProtection="0"/>
    <xf numFmtId="0" fontId="11" fillId="8" borderId="5" applyNumberFormat="0" applyAlignment="0" applyProtection="0"/>
    <xf numFmtId="0" fontId="12" fillId="8" borderId="4" applyNumberFormat="0" applyAlignment="0" applyProtection="0"/>
    <xf numFmtId="0" fontId="13" fillId="0" borderId="6" applyNumberFormat="0" applyFill="0" applyAlignment="0" applyProtection="0"/>
    <xf numFmtId="0" fontId="14" fillId="9" borderId="7" applyNumberFormat="0" applyAlignment="0" applyProtection="0"/>
    <xf numFmtId="0" fontId="15" fillId="0" borderId="0" applyNumberFormat="0" applyFill="0" applyBorder="0" applyAlignment="0" applyProtection="0"/>
    <xf numFmtId="0" fontId="1" fillId="10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2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8" fillId="0" borderId="0"/>
    <xf numFmtId="0" fontId="1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19" fillId="2" borderId="0" xfId="0" applyFont="1" applyFill="1" applyAlignment="1">
      <alignment horizontal="left"/>
    </xf>
    <xf numFmtId="0" fontId="19" fillId="2" borderId="0" xfId="0" applyFont="1" applyFill="1" applyAlignment="1">
      <alignment horizontal="center"/>
    </xf>
    <xf numFmtId="10" fontId="20" fillId="3" borderId="14" xfId="0" applyNumberFormat="1" applyFont="1" applyFill="1" applyBorder="1" applyAlignment="1">
      <alignment horizontal="center" wrapText="1"/>
    </xf>
    <xf numFmtId="10" fontId="20" fillId="3" borderId="15" xfId="0" applyNumberFormat="1" applyFont="1" applyFill="1" applyBorder="1" applyAlignment="1">
      <alignment horizontal="center" wrapText="1"/>
    </xf>
    <xf numFmtId="0" fontId="20" fillId="3" borderId="14" xfId="0" applyFont="1" applyFill="1" applyBorder="1" applyAlignment="1">
      <alignment horizontal="center" wrapText="1"/>
    </xf>
    <xf numFmtId="10" fontId="20" fillId="3" borderId="15" xfId="0" applyNumberFormat="1" applyFont="1" applyFill="1" applyBorder="1" applyAlignment="1">
      <alignment horizontal="center"/>
    </xf>
    <xf numFmtId="44" fontId="20" fillId="3" borderId="13" xfId="0" applyNumberFormat="1" applyFont="1" applyFill="1" applyBorder="1" applyAlignment="1">
      <alignment horizontal="center" wrapText="1"/>
    </xf>
    <xf numFmtId="44" fontId="20" fillId="3" borderId="16" xfId="0" applyNumberFormat="1" applyFont="1" applyFill="1" applyBorder="1" applyAlignment="1">
      <alignment horizontal="center" wrapText="1"/>
    </xf>
    <xf numFmtId="0" fontId="21" fillId="3" borderId="12" xfId="0" applyFont="1" applyFill="1" applyBorder="1" applyAlignment="1">
      <alignment horizontal="center"/>
    </xf>
    <xf numFmtId="0" fontId="19" fillId="2" borderId="12" xfId="0" applyFont="1" applyFill="1" applyBorder="1" applyAlignment="1">
      <alignment horizontal="center"/>
    </xf>
    <xf numFmtId="0" fontId="19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10" fontId="19" fillId="0" borderId="0" xfId="0" applyNumberFormat="1" applyFont="1" applyAlignment="1">
      <alignment horizontal="center"/>
    </xf>
    <xf numFmtId="44" fontId="19" fillId="0" borderId="0" xfId="0" applyNumberFormat="1" applyFont="1" applyAlignment="1">
      <alignment horizontal="center"/>
    </xf>
    <xf numFmtId="44" fontId="22" fillId="0" borderId="12" xfId="1" applyFont="1" applyFill="1" applyBorder="1" applyAlignment="1">
      <alignment horizontal="center"/>
    </xf>
    <xf numFmtId="44" fontId="22" fillId="0" borderId="0" xfId="1" applyFont="1" applyFill="1" applyBorder="1" applyAlignment="1">
      <alignment horizontal="center"/>
    </xf>
    <xf numFmtId="0" fontId="20" fillId="3" borderId="10" xfId="0" applyFont="1" applyFill="1" applyBorder="1" applyAlignment="1">
      <alignment horizontal="center"/>
    </xf>
    <xf numFmtId="0" fontId="20" fillId="3" borderId="11" xfId="0" applyFont="1" applyFill="1" applyBorder="1" applyAlignment="1">
      <alignment horizontal="center"/>
    </xf>
    <xf numFmtId="0" fontId="20" fillId="3" borderId="13" xfId="0" applyFont="1" applyFill="1" applyBorder="1" applyAlignment="1">
      <alignment horizontal="center"/>
    </xf>
    <xf numFmtId="44" fontId="22" fillId="2" borderId="12" xfId="0" applyNumberFormat="1" applyFont="1" applyFill="1" applyBorder="1" applyAlignment="1">
      <alignment horizontal="center" wrapText="1"/>
    </xf>
    <xf numFmtId="44" fontId="22" fillId="2" borderId="12" xfId="0" applyNumberFormat="1" applyFont="1" applyFill="1" applyBorder="1" applyAlignment="1">
      <alignment horizontal="center"/>
    </xf>
    <xf numFmtId="0" fontId="22" fillId="2" borderId="0" xfId="0" applyFont="1" applyFill="1" applyAlignment="1">
      <alignment horizontal="center"/>
    </xf>
    <xf numFmtId="0" fontId="20" fillId="3" borderId="12" xfId="0" applyFont="1" applyFill="1" applyBorder="1" applyAlignment="1">
      <alignment horizontal="center"/>
    </xf>
    <xf numFmtId="10" fontId="20" fillId="3" borderId="16" xfId="0" applyNumberFormat="1" applyFont="1" applyFill="1" applyBorder="1" applyAlignment="1">
      <alignment horizontal="center" wrapText="1"/>
    </xf>
    <xf numFmtId="44" fontId="22" fillId="2" borderId="17" xfId="0" applyNumberFormat="1" applyFont="1" applyFill="1" applyBorder="1" applyAlignment="1">
      <alignment horizontal="center" wrapText="1"/>
    </xf>
    <xf numFmtId="44" fontId="22" fillId="0" borderId="17" xfId="1" applyFont="1" applyFill="1" applyBorder="1" applyAlignment="1">
      <alignment horizontal="center"/>
    </xf>
    <xf numFmtId="0" fontId="20" fillId="3" borderId="18" xfId="0" applyFont="1" applyFill="1" applyBorder="1" applyAlignment="1">
      <alignment horizontal="center"/>
    </xf>
    <xf numFmtId="0" fontId="21" fillId="3" borderId="18" xfId="0" applyFont="1" applyFill="1" applyBorder="1" applyAlignment="1">
      <alignment horizontal="center"/>
    </xf>
    <xf numFmtId="0" fontId="19" fillId="2" borderId="18" xfId="0" applyFont="1" applyFill="1" applyBorder="1" applyAlignment="1">
      <alignment horizontal="center"/>
    </xf>
    <xf numFmtId="0" fontId="19" fillId="2" borderId="19" xfId="0" applyFont="1" applyFill="1" applyBorder="1" applyAlignment="1">
      <alignment horizontal="center"/>
    </xf>
    <xf numFmtId="0" fontId="20" fillId="3" borderId="20" xfId="0" applyFont="1" applyFill="1" applyBorder="1" applyAlignment="1">
      <alignment horizontal="center"/>
    </xf>
    <xf numFmtId="0" fontId="21" fillId="3" borderId="20" xfId="0" applyFont="1" applyFill="1" applyBorder="1" applyAlignment="1">
      <alignment horizontal="center"/>
    </xf>
    <xf numFmtId="0" fontId="21" fillId="3" borderId="21" xfId="0" applyFont="1" applyFill="1" applyBorder="1" applyAlignment="1">
      <alignment horizontal="center"/>
    </xf>
    <xf numFmtId="0" fontId="19" fillId="2" borderId="20" xfId="0" applyFont="1" applyFill="1" applyBorder="1" applyAlignment="1">
      <alignment horizontal="center"/>
    </xf>
    <xf numFmtId="0" fontId="19" fillId="2" borderId="21" xfId="0" applyFont="1" applyFill="1" applyBorder="1" applyAlignment="1">
      <alignment horizontal="center"/>
    </xf>
    <xf numFmtId="0" fontId="19" fillId="2" borderId="22" xfId="0" applyFont="1" applyFill="1" applyBorder="1" applyAlignment="1">
      <alignment horizontal="center"/>
    </xf>
    <xf numFmtId="44" fontId="22" fillId="0" borderId="23" xfId="1" applyFont="1" applyFill="1" applyBorder="1" applyAlignment="1">
      <alignment horizontal="center"/>
    </xf>
    <xf numFmtId="0" fontId="19" fillId="2" borderId="24" xfId="0" applyFont="1" applyFill="1" applyBorder="1" applyAlignment="1">
      <alignment horizontal="center"/>
    </xf>
    <xf numFmtId="0" fontId="20" fillId="3" borderId="25" xfId="0" applyFont="1" applyFill="1" applyBorder="1" applyAlignment="1">
      <alignment horizontal="center"/>
    </xf>
    <xf numFmtId="44" fontId="22" fillId="2" borderId="26" xfId="0" applyNumberFormat="1" applyFont="1" applyFill="1" applyBorder="1" applyAlignment="1">
      <alignment horizontal="center" wrapText="1"/>
    </xf>
    <xf numFmtId="44" fontId="22" fillId="2" borderId="26" xfId="0" applyNumberFormat="1" applyFont="1" applyFill="1" applyBorder="1" applyAlignment="1">
      <alignment horizontal="center"/>
    </xf>
    <xf numFmtId="10" fontId="20" fillId="3" borderId="13" xfId="0" applyNumberFormat="1" applyFont="1" applyFill="1" applyBorder="1" applyAlignment="1">
      <alignment horizontal="center" wrapText="1"/>
    </xf>
    <xf numFmtId="44" fontId="22" fillId="2" borderId="28" xfId="0" applyNumberFormat="1" applyFont="1" applyFill="1" applyBorder="1" applyAlignment="1">
      <alignment horizontal="center" wrapText="1"/>
    </xf>
    <xf numFmtId="44" fontId="22" fillId="0" borderId="28" xfId="1" applyFont="1" applyFill="1" applyBorder="1" applyAlignment="1">
      <alignment horizontal="center"/>
    </xf>
    <xf numFmtId="44" fontId="22" fillId="0" borderId="29" xfId="1" applyFont="1" applyFill="1" applyBorder="1" applyAlignment="1">
      <alignment horizontal="center"/>
    </xf>
    <xf numFmtId="44" fontId="22" fillId="2" borderId="30" xfId="0" applyNumberFormat="1" applyFont="1" applyFill="1" applyBorder="1" applyAlignment="1">
      <alignment horizontal="center" wrapText="1"/>
    </xf>
    <xf numFmtId="0" fontId="20" fillId="3" borderId="31" xfId="0" applyFont="1" applyFill="1" applyBorder="1" applyAlignment="1">
      <alignment horizontal="center"/>
    </xf>
    <xf numFmtId="0" fontId="20" fillId="3" borderId="32" xfId="0" applyFont="1" applyFill="1" applyBorder="1" applyAlignment="1">
      <alignment horizontal="center"/>
    </xf>
    <xf numFmtId="164" fontId="19" fillId="2" borderId="0" xfId="0" applyNumberFormat="1" applyFont="1" applyFill="1" applyAlignment="1">
      <alignment horizontal="center"/>
    </xf>
    <xf numFmtId="44" fontId="20" fillId="3" borderId="21" xfId="0" applyNumberFormat="1" applyFont="1" applyFill="1" applyBorder="1" applyAlignment="1">
      <alignment horizontal="center"/>
    </xf>
    <xf numFmtId="44" fontId="22" fillId="2" borderId="23" xfId="1" applyFont="1" applyFill="1" applyBorder="1" applyAlignment="1">
      <alignment horizontal="center"/>
    </xf>
    <xf numFmtId="44" fontId="20" fillId="3" borderId="27" xfId="0" applyNumberFormat="1" applyFont="1" applyFill="1" applyBorder="1" applyAlignment="1">
      <alignment horizontal="center"/>
    </xf>
    <xf numFmtId="44" fontId="22" fillId="0" borderId="33" xfId="1" applyFont="1" applyFill="1" applyBorder="1" applyAlignment="1">
      <alignment horizontal="center"/>
    </xf>
    <xf numFmtId="10" fontId="20" fillId="3" borderId="34" xfId="0" applyNumberFormat="1" applyFont="1" applyFill="1" applyBorder="1" applyAlignment="1">
      <alignment horizontal="center" wrapText="1"/>
    </xf>
    <xf numFmtId="10" fontId="20" fillId="3" borderId="0" xfId="0" applyNumberFormat="1" applyFont="1" applyFill="1" applyAlignment="1">
      <alignment horizontal="center" wrapText="1"/>
    </xf>
    <xf numFmtId="0" fontId="20" fillId="3" borderId="34" xfId="0" applyFont="1" applyFill="1" applyBorder="1" applyAlignment="1">
      <alignment horizontal="center" wrapText="1"/>
    </xf>
    <xf numFmtId="10" fontId="20" fillId="3" borderId="0" xfId="0" applyNumberFormat="1" applyFont="1" applyFill="1" applyAlignment="1">
      <alignment horizontal="center"/>
    </xf>
    <xf numFmtId="44" fontId="20" fillId="3" borderId="35" xfId="0" applyNumberFormat="1" applyFont="1" applyFill="1" applyBorder="1" applyAlignment="1">
      <alignment horizontal="center" wrapText="1"/>
    </xf>
    <xf numFmtId="44" fontId="20" fillId="3" borderId="36" xfId="0" applyNumberFormat="1" applyFont="1" applyFill="1" applyBorder="1" applyAlignment="1">
      <alignment horizontal="center" wrapText="1"/>
    </xf>
    <xf numFmtId="44" fontId="22" fillId="0" borderId="37" xfId="1" applyFont="1" applyFill="1" applyBorder="1" applyAlignment="1">
      <alignment horizontal="center"/>
    </xf>
    <xf numFmtId="44" fontId="22" fillId="0" borderId="38" xfId="1" applyFont="1" applyFill="1" applyBorder="1" applyAlignment="1">
      <alignment horizontal="center"/>
    </xf>
    <xf numFmtId="44" fontId="22" fillId="0" borderId="39" xfId="1" applyFont="1" applyFill="1" applyBorder="1" applyAlignment="1">
      <alignment horizontal="center"/>
    </xf>
    <xf numFmtId="44" fontId="22" fillId="0" borderId="36" xfId="1" applyFont="1" applyFill="1" applyBorder="1" applyAlignment="1">
      <alignment horizontal="center"/>
    </xf>
    <xf numFmtId="44" fontId="22" fillId="0" borderId="41" xfId="1" applyFont="1" applyFill="1" applyBorder="1" applyAlignment="1">
      <alignment horizontal="center"/>
    </xf>
    <xf numFmtId="44" fontId="22" fillId="2" borderId="12" xfId="1" applyFont="1" applyFill="1" applyBorder="1" applyAlignment="1">
      <alignment horizontal="center"/>
    </xf>
    <xf numFmtId="44" fontId="19" fillId="2" borderId="0" xfId="0" applyNumberFormat="1" applyFont="1" applyFill="1" applyAlignment="1">
      <alignment horizontal="center"/>
    </xf>
    <xf numFmtId="0" fontId="20" fillId="3" borderId="40" xfId="0" applyFont="1" applyFill="1" applyBorder="1" applyAlignment="1">
      <alignment horizontal="center"/>
    </xf>
    <xf numFmtId="0" fontId="19" fillId="35" borderId="22" xfId="0" applyFont="1" applyFill="1" applyBorder="1" applyAlignment="1">
      <alignment horizontal="center"/>
    </xf>
    <xf numFmtId="0" fontId="22" fillId="35" borderId="13" xfId="0" applyFont="1" applyFill="1" applyBorder="1" applyAlignment="1">
      <alignment horizontal="center"/>
    </xf>
    <xf numFmtId="0" fontId="22" fillId="35" borderId="10" xfId="0" applyFont="1" applyFill="1" applyBorder="1" applyAlignment="1">
      <alignment horizontal="center"/>
    </xf>
    <xf numFmtId="0" fontId="22" fillId="35" borderId="11" xfId="0" applyFont="1" applyFill="1" applyBorder="1" applyAlignment="1">
      <alignment horizontal="center"/>
    </xf>
    <xf numFmtId="10" fontId="19" fillId="2" borderId="0" xfId="0" applyNumberFormat="1" applyFont="1" applyFill="1" applyAlignment="1">
      <alignment horizontal="center"/>
    </xf>
  </cellXfs>
  <cellStyles count="46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 14" xfId="45" xr:uid="{15FABAEB-A339-462D-BDB3-CAFDCFA77CE4}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4" xr:uid="{2025CD93-B19D-4823-8F19-15B5B009820C}"/>
    <cellStyle name="Normal 3" xfId="43" xr:uid="{52470A63-C9B7-431E-97B6-2D0025A16509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colors>
    <mruColors>
      <color rgb="FFFFE389"/>
      <color rgb="FF00FF00"/>
      <color rgb="FFFF00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hn\Downloads\Combined%20Fen's%20P&amp;L%202023%20P13%20Final%20(1).xlsx" TargetMode="External"/><Relationship Id="rId1" Type="http://schemas.openxmlformats.org/officeDocument/2006/relationships/externalLinkPath" Target="/Users/John/Downloads/Combined%20Fen's%20P&amp;L%202023%20P13%20Final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hn\Downloads\Combined%20Fen's%20P&amp;L%202023%20P13%20Final%20(2).xlsx" TargetMode="External"/><Relationship Id="rId1" Type="http://schemas.openxmlformats.org/officeDocument/2006/relationships/externalLinkPath" Target="/Users/John/Downloads/Combined%20Fen's%20P&amp;L%202023%20P13%20Final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#eggery"/>
      <sheetName val="Managers"/>
      <sheetName val="_Store P&amp;L"/>
      <sheetName val="Allocated Longs Creek"/>
      <sheetName val="Sheet4"/>
      <sheetName val="Rolled_UP"/>
      <sheetName val="P&amp;L Analysis"/>
      <sheetName val="Store Hrs Data Sheet"/>
    </sheetNames>
    <definedNames>
      <definedName name="Mapping" refersTo="='Sheet1'!$BR:$BR" sheetId="0"/>
    </definedNames>
    <sheetDataSet>
      <sheetData sheetId="0">
        <row r="1">
          <cell r="BR1" t="str">
            <v>Mapping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#eggery"/>
      <sheetName val="Managers"/>
      <sheetName val="_Store P&amp;L"/>
      <sheetName val="Allocated Longs Creek"/>
      <sheetName val="Sheet4"/>
      <sheetName val="Rolled_UP"/>
      <sheetName val="P&amp;L Analysis"/>
      <sheetName val="Store Hrs Data Sheet"/>
    </sheetNames>
    <sheetDataSet>
      <sheetData sheetId="0" refreshError="1"/>
      <sheetData sheetId="1" refreshError="1"/>
      <sheetData sheetId="2">
        <row r="13">
          <cell r="H13">
            <v>1</v>
          </cell>
          <cell r="I13" t="str">
            <v>Sheet1!I:I</v>
          </cell>
        </row>
        <row r="14">
          <cell r="H14">
            <v>2</v>
          </cell>
          <cell r="I14" t="str">
            <v>Sheet1!J:J</v>
          </cell>
        </row>
        <row r="15">
          <cell r="H15">
            <v>3</v>
          </cell>
          <cell r="I15" t="str">
            <v>Sheet1!K:K</v>
          </cell>
        </row>
        <row r="16">
          <cell r="H16">
            <v>4</v>
          </cell>
          <cell r="I16" t="str">
            <v>Sheet1!L:L</v>
          </cell>
        </row>
        <row r="17">
          <cell r="H17">
            <v>5</v>
          </cell>
          <cell r="I17" t="str">
            <v>Sheet1!M:M</v>
          </cell>
        </row>
        <row r="18">
          <cell r="H18">
            <v>6</v>
          </cell>
          <cell r="I18" t="str">
            <v>Sheet1!N:N</v>
          </cell>
        </row>
        <row r="19">
          <cell r="H19">
            <v>7</v>
          </cell>
          <cell r="I19" t="str">
            <v>Sheet1!O:O</v>
          </cell>
        </row>
        <row r="20">
          <cell r="H20">
            <v>8</v>
          </cell>
          <cell r="I20" t="str">
            <v>Sheet1!P:P</v>
          </cell>
        </row>
        <row r="21">
          <cell r="H21">
            <v>9</v>
          </cell>
          <cell r="I21" t="str">
            <v>Sheet1!Q:Q</v>
          </cell>
        </row>
        <row r="22">
          <cell r="H22">
            <v>10</v>
          </cell>
          <cell r="I22" t="str">
            <v>Sheet1!R:R</v>
          </cell>
        </row>
        <row r="23">
          <cell r="H23">
            <v>11</v>
          </cell>
          <cell r="I23" t="str">
            <v>Sheet1!S:S</v>
          </cell>
        </row>
        <row r="24">
          <cell r="H24">
            <v>12</v>
          </cell>
          <cell r="I24" t="str">
            <v>Sheet1!T:T</v>
          </cell>
        </row>
        <row r="25">
          <cell r="H25">
            <v>13</v>
          </cell>
          <cell r="I25" t="str">
            <v>Sheet1!U:U</v>
          </cell>
        </row>
      </sheetData>
      <sheetData sheetId="3" refreshError="1"/>
      <sheetData sheetId="4">
        <row r="7">
          <cell r="C7">
            <v>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B062BC-88D8-4F99-AC3B-94988F274E50}">
  <dimension ref="A1:Q92"/>
  <sheetViews>
    <sheetView tabSelected="1" topLeftCell="A36" zoomScale="75" zoomScaleNormal="75" workbookViewId="0">
      <selection activeCell="A39" sqref="A39"/>
    </sheetView>
  </sheetViews>
  <sheetFormatPr defaultColWidth="21.6328125" defaultRowHeight="18.5" x14ac:dyDescent="0.45"/>
  <cols>
    <col min="1" max="1" width="30.1796875" style="12" customWidth="1"/>
    <col min="2" max="6" width="20.81640625" style="12" customWidth="1"/>
    <col min="7" max="7" width="20.81640625" style="13" customWidth="1"/>
    <col min="8" max="8" width="20.81640625" style="14" customWidth="1"/>
    <col min="9" max="9" width="20.81640625" style="13" customWidth="1"/>
    <col min="10" max="10" width="20.81640625" style="14" customWidth="1"/>
    <col min="11" max="15" width="20.81640625" style="12" customWidth="1"/>
    <col min="16" max="16" width="30.26953125" style="12" customWidth="1"/>
    <col min="17" max="16384" width="21.6328125" style="12"/>
  </cols>
  <sheetData>
    <row r="1" spans="1:17" s="2" customFormat="1" ht="30" customHeight="1" thickBot="1" x14ac:dyDescent="0.5">
      <c r="A1" s="1"/>
      <c r="M1" s="66"/>
      <c r="P1" s="1"/>
    </row>
    <row r="2" spans="1:17" s="2" customFormat="1" ht="30" customHeight="1" x14ac:dyDescent="0.45">
      <c r="A2" s="69" t="s">
        <v>37</v>
      </c>
      <c r="B2" s="3" t="s">
        <v>8</v>
      </c>
      <c r="C2" s="3" t="s">
        <v>9</v>
      </c>
      <c r="D2" s="3" t="s">
        <v>10</v>
      </c>
      <c r="E2" s="4" t="s">
        <v>11</v>
      </c>
      <c r="F2" s="3" t="s">
        <v>12</v>
      </c>
      <c r="G2" s="5" t="s">
        <v>13</v>
      </c>
      <c r="H2" s="6" t="s">
        <v>14</v>
      </c>
      <c r="I2" s="7" t="s">
        <v>15</v>
      </c>
      <c r="J2" s="8" t="s">
        <v>16</v>
      </c>
      <c r="K2" s="8" t="s">
        <v>17</v>
      </c>
      <c r="L2" s="8" t="s">
        <v>18</v>
      </c>
      <c r="M2" s="8" t="s">
        <v>19</v>
      </c>
      <c r="N2" s="8" t="s">
        <v>20</v>
      </c>
      <c r="O2" s="3" t="s">
        <v>21</v>
      </c>
      <c r="P2" s="19" t="s">
        <v>0</v>
      </c>
    </row>
    <row r="3" spans="1:17" s="22" customFormat="1" ht="30" customHeight="1" x14ac:dyDescent="0.45">
      <c r="A3" s="23" t="s">
        <v>35</v>
      </c>
      <c r="B3" s="20">
        <v>75000</v>
      </c>
      <c r="C3" s="20">
        <v>75000</v>
      </c>
      <c r="D3" s="20">
        <v>80000</v>
      </c>
      <c r="E3" s="20">
        <v>80000</v>
      </c>
      <c r="F3" s="20">
        <v>82000</v>
      </c>
      <c r="G3" s="20">
        <v>85000</v>
      </c>
      <c r="H3" s="21">
        <v>85000</v>
      </c>
      <c r="I3" s="20">
        <v>85000</v>
      </c>
      <c r="J3" s="20">
        <v>79071.899999999994</v>
      </c>
      <c r="K3" s="20">
        <v>81159</v>
      </c>
      <c r="L3" s="20">
        <v>86480</v>
      </c>
      <c r="M3" s="20">
        <v>95242</v>
      </c>
      <c r="N3" s="20">
        <v>84038</v>
      </c>
      <c r="O3" s="20">
        <f>SUM(B3:N3)</f>
        <v>1072990.8999999999</v>
      </c>
      <c r="P3" s="23" t="s">
        <v>35</v>
      </c>
    </row>
    <row r="4" spans="1:17" s="2" customFormat="1" ht="30" customHeight="1" x14ac:dyDescent="0.45">
      <c r="A4" s="9" t="s">
        <v>36</v>
      </c>
      <c r="B4" s="15">
        <v>85000</v>
      </c>
      <c r="C4" s="15">
        <v>87500</v>
      </c>
      <c r="D4" s="15">
        <v>90000</v>
      </c>
      <c r="E4" s="15">
        <v>92000</v>
      </c>
      <c r="F4" s="15">
        <v>92000</v>
      </c>
      <c r="G4" s="15">
        <v>93000</v>
      </c>
      <c r="H4" s="15">
        <v>93000</v>
      </c>
      <c r="I4" s="15">
        <v>93000</v>
      </c>
      <c r="J4" s="15">
        <v>93000</v>
      </c>
      <c r="K4" s="15">
        <v>94000</v>
      </c>
      <c r="L4" s="15">
        <v>95000</v>
      </c>
      <c r="M4" s="15">
        <v>100000</v>
      </c>
      <c r="N4" s="15">
        <v>92500</v>
      </c>
      <c r="O4" s="15">
        <f>SUM(B4:N4)</f>
        <v>1200000</v>
      </c>
      <c r="P4" s="9" t="s">
        <v>36</v>
      </c>
    </row>
    <row r="5" spans="1:17" s="2" customFormat="1" ht="30" customHeight="1" x14ac:dyDescent="0.45">
      <c r="A5" s="10" t="s">
        <v>22</v>
      </c>
      <c r="B5" s="15">
        <f>B4*0.39</f>
        <v>33150</v>
      </c>
      <c r="C5" s="15">
        <f t="shared" ref="C5:N5" si="0">C4*0.39</f>
        <v>34125</v>
      </c>
      <c r="D5" s="15">
        <f t="shared" si="0"/>
        <v>35100</v>
      </c>
      <c r="E5" s="15">
        <f t="shared" si="0"/>
        <v>35880</v>
      </c>
      <c r="F5" s="15">
        <f t="shared" si="0"/>
        <v>35880</v>
      </c>
      <c r="G5" s="15">
        <f t="shared" si="0"/>
        <v>36270</v>
      </c>
      <c r="H5" s="15">
        <f t="shared" si="0"/>
        <v>36270</v>
      </c>
      <c r="I5" s="15">
        <f t="shared" si="0"/>
        <v>36270</v>
      </c>
      <c r="J5" s="15">
        <f t="shared" si="0"/>
        <v>36270</v>
      </c>
      <c r="K5" s="15">
        <f t="shared" si="0"/>
        <v>36660</v>
      </c>
      <c r="L5" s="15">
        <f t="shared" si="0"/>
        <v>37050</v>
      </c>
      <c r="M5" s="15">
        <f t="shared" si="0"/>
        <v>39000</v>
      </c>
      <c r="N5" s="15">
        <f t="shared" si="0"/>
        <v>36075</v>
      </c>
      <c r="O5" s="15">
        <f>SUM(B5:N5)</f>
        <v>468000</v>
      </c>
      <c r="P5" s="10" t="s">
        <v>54</v>
      </c>
    </row>
    <row r="6" spans="1:17" s="11" customFormat="1" ht="30" customHeight="1" thickBot="1" x14ac:dyDescent="0.5">
      <c r="A6" s="10" t="s">
        <v>59</v>
      </c>
      <c r="B6" s="15">
        <f>B4*0.285</f>
        <v>24224.999999999996</v>
      </c>
      <c r="C6" s="15">
        <f t="shared" ref="C6:N6" si="1">C4*0.285</f>
        <v>24937.499999999996</v>
      </c>
      <c r="D6" s="15">
        <f t="shared" si="1"/>
        <v>25649.999999999996</v>
      </c>
      <c r="E6" s="15">
        <f t="shared" si="1"/>
        <v>26219.999999999996</v>
      </c>
      <c r="F6" s="15">
        <f t="shared" si="1"/>
        <v>26219.999999999996</v>
      </c>
      <c r="G6" s="15">
        <f t="shared" si="1"/>
        <v>26504.999999999996</v>
      </c>
      <c r="H6" s="15">
        <f t="shared" si="1"/>
        <v>26504.999999999996</v>
      </c>
      <c r="I6" s="15">
        <f t="shared" si="1"/>
        <v>26504.999999999996</v>
      </c>
      <c r="J6" s="15">
        <f t="shared" si="1"/>
        <v>26504.999999999996</v>
      </c>
      <c r="K6" s="15">
        <f t="shared" si="1"/>
        <v>26789.999999999996</v>
      </c>
      <c r="L6" s="15">
        <f t="shared" si="1"/>
        <v>27074.999999999996</v>
      </c>
      <c r="M6" s="15">
        <f t="shared" si="1"/>
        <v>28499.999999999996</v>
      </c>
      <c r="N6" s="15">
        <f t="shared" si="1"/>
        <v>26362.499999999996</v>
      </c>
      <c r="O6" s="15">
        <f>SUM(B6:N6)</f>
        <v>341999.99999999994</v>
      </c>
      <c r="P6" s="10" t="s">
        <v>53</v>
      </c>
    </row>
    <row r="7" spans="1:17" s="2" customFormat="1" ht="30" customHeight="1" thickBot="1" x14ac:dyDescent="0.5">
      <c r="A7" s="18" t="s">
        <v>48</v>
      </c>
      <c r="B7" s="60">
        <f>B4-B5-B6</f>
        <v>27625.000000000004</v>
      </c>
      <c r="C7" s="61">
        <f t="shared" ref="C7:N7" si="2">C4-C5-C6</f>
        <v>28437.500000000004</v>
      </c>
      <c r="D7" s="61">
        <f t="shared" si="2"/>
        <v>29250.000000000004</v>
      </c>
      <c r="E7" s="61">
        <f t="shared" si="2"/>
        <v>29900.000000000004</v>
      </c>
      <c r="F7" s="61">
        <f t="shared" si="2"/>
        <v>29900.000000000004</v>
      </c>
      <c r="G7" s="61">
        <f t="shared" si="2"/>
        <v>30225.000000000004</v>
      </c>
      <c r="H7" s="61">
        <f t="shared" si="2"/>
        <v>30225.000000000004</v>
      </c>
      <c r="I7" s="61">
        <f t="shared" si="2"/>
        <v>30225.000000000004</v>
      </c>
      <c r="J7" s="61">
        <f t="shared" si="2"/>
        <v>30225.000000000004</v>
      </c>
      <c r="K7" s="61">
        <f t="shared" si="2"/>
        <v>30550.000000000004</v>
      </c>
      <c r="L7" s="61">
        <f t="shared" si="2"/>
        <v>30875.000000000004</v>
      </c>
      <c r="M7" s="61">
        <f t="shared" si="2"/>
        <v>32500.000000000004</v>
      </c>
      <c r="N7" s="62">
        <f t="shared" si="2"/>
        <v>30062.500000000004</v>
      </c>
      <c r="O7" s="64">
        <f>O4-O5-O6</f>
        <v>390000.00000000006</v>
      </c>
      <c r="P7" s="18" t="s">
        <v>48</v>
      </c>
    </row>
    <row r="8" spans="1:17" s="11" customFormat="1" ht="30" customHeight="1" thickBot="1" x14ac:dyDescent="0.5">
      <c r="A8" s="2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2"/>
    </row>
    <row r="9" spans="1:17" s="11" customFormat="1" ht="30" customHeight="1" thickBot="1" x14ac:dyDescent="0.5">
      <c r="A9" s="70" t="s">
        <v>6</v>
      </c>
      <c r="B9" s="3" t="s">
        <v>60</v>
      </c>
      <c r="C9" s="3" t="s">
        <v>9</v>
      </c>
      <c r="D9" s="3" t="s">
        <v>10</v>
      </c>
      <c r="E9" s="4" t="s">
        <v>11</v>
      </c>
      <c r="F9" s="3" t="s">
        <v>12</v>
      </c>
      <c r="G9" s="5" t="s">
        <v>13</v>
      </c>
      <c r="H9" s="6" t="s">
        <v>14</v>
      </c>
      <c r="I9" s="7" t="s">
        <v>15</v>
      </c>
      <c r="J9" s="8" t="s">
        <v>16</v>
      </c>
      <c r="K9" s="8" t="s">
        <v>17</v>
      </c>
      <c r="L9" s="8" t="s">
        <v>18</v>
      </c>
      <c r="M9" s="8" t="s">
        <v>19</v>
      </c>
      <c r="N9" s="8" t="s">
        <v>20</v>
      </c>
      <c r="O9" s="3" t="s">
        <v>21</v>
      </c>
      <c r="P9" s="17" t="s">
        <v>6</v>
      </c>
    </row>
    <row r="10" spans="1:17" s="22" customFormat="1" ht="30" customHeight="1" x14ac:dyDescent="0.45">
      <c r="A10" s="23" t="s">
        <v>33</v>
      </c>
      <c r="B10" s="20">
        <v>8500</v>
      </c>
      <c r="C10" s="20">
        <v>10000</v>
      </c>
      <c r="D10" s="20">
        <v>10000</v>
      </c>
      <c r="E10" s="20">
        <v>10000</v>
      </c>
      <c r="F10" s="20">
        <v>10000</v>
      </c>
      <c r="G10" s="20">
        <v>10000</v>
      </c>
      <c r="H10" s="20">
        <v>10000</v>
      </c>
      <c r="I10" s="20">
        <v>10000</v>
      </c>
      <c r="J10" s="20">
        <v>10000</v>
      </c>
      <c r="K10" s="20">
        <v>10000</v>
      </c>
      <c r="L10" s="20">
        <v>12500</v>
      </c>
      <c r="M10" s="20">
        <v>8731.2000000000007</v>
      </c>
      <c r="N10" s="20">
        <v>13788.6</v>
      </c>
      <c r="O10" s="20">
        <f>SUM(B10:N10)</f>
        <v>133519.79999999999</v>
      </c>
      <c r="P10" s="23" t="s">
        <v>33</v>
      </c>
    </row>
    <row r="11" spans="1:17" s="2" customFormat="1" ht="30" customHeight="1" x14ac:dyDescent="0.45">
      <c r="A11" s="9" t="s">
        <v>34</v>
      </c>
      <c r="B11" s="15">
        <f>B10</f>
        <v>8500</v>
      </c>
      <c r="C11" s="15">
        <v>11000</v>
      </c>
      <c r="D11" s="15">
        <v>12500</v>
      </c>
      <c r="E11" s="15">
        <v>13000</v>
      </c>
      <c r="F11" s="15">
        <v>13000</v>
      </c>
      <c r="G11" s="15">
        <v>13000</v>
      </c>
      <c r="H11" s="15">
        <v>13000</v>
      </c>
      <c r="I11" s="15">
        <v>13000</v>
      </c>
      <c r="J11" s="15">
        <v>13000</v>
      </c>
      <c r="K11" s="15">
        <v>13000</v>
      </c>
      <c r="L11" s="15">
        <v>13000</v>
      </c>
      <c r="M11" s="15">
        <v>13000</v>
      </c>
      <c r="N11" s="15">
        <f>N10</f>
        <v>13788.6</v>
      </c>
      <c r="O11" s="15">
        <f t="shared" ref="O11:O13" si="3">SUM(B11:N11)</f>
        <v>162788.6</v>
      </c>
      <c r="P11" s="9" t="s">
        <v>34</v>
      </c>
    </row>
    <row r="12" spans="1:17" s="2" customFormat="1" ht="30" customHeight="1" x14ac:dyDescent="0.45">
      <c r="A12" s="10" t="s">
        <v>22</v>
      </c>
      <c r="B12" s="15">
        <f>B11*0.39</f>
        <v>3315</v>
      </c>
      <c r="C12" s="15">
        <f t="shared" ref="C12:N12" si="4">C11*0.39</f>
        <v>4290</v>
      </c>
      <c r="D12" s="15">
        <f t="shared" si="4"/>
        <v>4875</v>
      </c>
      <c r="E12" s="15">
        <f t="shared" si="4"/>
        <v>5070</v>
      </c>
      <c r="F12" s="15">
        <f t="shared" si="4"/>
        <v>5070</v>
      </c>
      <c r="G12" s="15">
        <f t="shared" si="4"/>
        <v>5070</v>
      </c>
      <c r="H12" s="15">
        <f t="shared" si="4"/>
        <v>5070</v>
      </c>
      <c r="I12" s="15">
        <f t="shared" si="4"/>
        <v>5070</v>
      </c>
      <c r="J12" s="15">
        <f t="shared" si="4"/>
        <v>5070</v>
      </c>
      <c r="K12" s="15">
        <f t="shared" si="4"/>
        <v>5070</v>
      </c>
      <c r="L12" s="15">
        <f t="shared" si="4"/>
        <v>5070</v>
      </c>
      <c r="M12" s="15">
        <f t="shared" si="4"/>
        <v>5070</v>
      </c>
      <c r="N12" s="15">
        <f t="shared" si="4"/>
        <v>5377.5540000000001</v>
      </c>
      <c r="O12" s="15">
        <f t="shared" si="3"/>
        <v>63487.554000000004</v>
      </c>
      <c r="P12" s="10" t="s">
        <v>22</v>
      </c>
    </row>
    <row r="13" spans="1:17" s="11" customFormat="1" ht="30" customHeight="1" thickBot="1" x14ac:dyDescent="0.5">
      <c r="A13" s="10" t="s">
        <v>62</v>
      </c>
      <c r="B13" s="15">
        <f>B11*0.5</f>
        <v>4250</v>
      </c>
      <c r="C13" s="15">
        <f>C11*0.44</f>
        <v>4840</v>
      </c>
      <c r="D13" s="15">
        <f>D11*0.36</f>
        <v>4500</v>
      </c>
      <c r="E13" s="15">
        <f>E11*0.36</f>
        <v>4680</v>
      </c>
      <c r="F13" s="15">
        <f>F11*0.35</f>
        <v>4550</v>
      </c>
      <c r="G13" s="15">
        <f>G11*0.35</f>
        <v>4550</v>
      </c>
      <c r="H13" s="15">
        <f>H11*0.35</f>
        <v>4550</v>
      </c>
      <c r="I13" s="15">
        <f t="shared" ref="I13:J13" si="5">I11*0.36</f>
        <v>4680</v>
      </c>
      <c r="J13" s="15">
        <f t="shared" si="5"/>
        <v>4680</v>
      </c>
      <c r="K13" s="15">
        <f>K11*0.36</f>
        <v>4680</v>
      </c>
      <c r="L13" s="15">
        <f>L11*0.36</f>
        <v>4680</v>
      </c>
      <c r="M13" s="15">
        <f>M11*0.36</f>
        <v>4680</v>
      </c>
      <c r="N13" s="15">
        <f>N11*0.36</f>
        <v>4963.8959999999997</v>
      </c>
      <c r="O13" s="15">
        <f t="shared" si="3"/>
        <v>60283.896000000001</v>
      </c>
      <c r="P13" s="10" t="s">
        <v>62</v>
      </c>
      <c r="Q13" s="11">
        <f>O13/O11</f>
        <v>0.370320132982285</v>
      </c>
    </row>
    <row r="14" spans="1:17" s="2" customFormat="1" ht="30" customHeight="1" thickBot="1" x14ac:dyDescent="0.5">
      <c r="A14" s="18" t="s">
        <v>48</v>
      </c>
      <c r="B14" s="60">
        <f>B11-B12-B13</f>
        <v>935</v>
      </c>
      <c r="C14" s="61">
        <f t="shared" ref="C14:N14" si="6">C11-C12-C13</f>
        <v>1870</v>
      </c>
      <c r="D14" s="61">
        <f t="shared" si="6"/>
        <v>3125</v>
      </c>
      <c r="E14" s="61">
        <f t="shared" si="6"/>
        <v>3250</v>
      </c>
      <c r="F14" s="61">
        <f t="shared" si="6"/>
        <v>3380</v>
      </c>
      <c r="G14" s="61">
        <f t="shared" si="6"/>
        <v>3380</v>
      </c>
      <c r="H14" s="61">
        <f t="shared" si="6"/>
        <v>3380</v>
      </c>
      <c r="I14" s="61">
        <f t="shared" si="6"/>
        <v>3250</v>
      </c>
      <c r="J14" s="61">
        <f t="shared" si="6"/>
        <v>3250</v>
      </c>
      <c r="K14" s="61">
        <f t="shared" si="6"/>
        <v>3250</v>
      </c>
      <c r="L14" s="61">
        <f t="shared" si="6"/>
        <v>3250</v>
      </c>
      <c r="M14" s="61">
        <f t="shared" si="6"/>
        <v>3250</v>
      </c>
      <c r="N14" s="62">
        <f t="shared" si="6"/>
        <v>3447.1500000000005</v>
      </c>
      <c r="O14" s="64">
        <f>O11-O12-O13</f>
        <v>39017.15</v>
      </c>
      <c r="P14" s="18" t="s">
        <v>48</v>
      </c>
    </row>
    <row r="15" spans="1:17" s="11" customFormat="1" ht="30" customHeight="1" thickBot="1" x14ac:dyDescent="0.5">
      <c r="A15" s="2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2"/>
    </row>
    <row r="16" spans="1:17" s="2" customFormat="1" ht="30" customHeight="1" thickBot="1" x14ac:dyDescent="0.5">
      <c r="A16" s="71" t="s">
        <v>31</v>
      </c>
      <c r="B16" s="24" t="s">
        <v>8</v>
      </c>
      <c r="C16" s="3" t="s">
        <v>9</v>
      </c>
      <c r="D16" s="3" t="s">
        <v>10</v>
      </c>
      <c r="E16" s="4" t="s">
        <v>11</v>
      </c>
      <c r="F16" s="3" t="s">
        <v>12</v>
      </c>
      <c r="G16" s="5" t="s">
        <v>13</v>
      </c>
      <c r="H16" s="6" t="s">
        <v>14</v>
      </c>
      <c r="I16" s="7" t="s">
        <v>15</v>
      </c>
      <c r="J16" s="8" t="s">
        <v>16</v>
      </c>
      <c r="K16" s="8" t="s">
        <v>17</v>
      </c>
      <c r="L16" s="8" t="s">
        <v>18</v>
      </c>
      <c r="M16" s="8" t="s">
        <v>19</v>
      </c>
      <c r="N16" s="8" t="s">
        <v>20</v>
      </c>
      <c r="O16" s="3" t="s">
        <v>21</v>
      </c>
      <c r="P16" s="18" t="s">
        <v>31</v>
      </c>
    </row>
    <row r="17" spans="1:16" s="22" customFormat="1" ht="30" customHeight="1" x14ac:dyDescent="0.45">
      <c r="A17" s="48" t="s">
        <v>27</v>
      </c>
      <c r="B17" s="20">
        <v>14119.4</v>
      </c>
      <c r="C17" s="20">
        <v>15498.7</v>
      </c>
      <c r="D17" s="20">
        <v>14345.5</v>
      </c>
      <c r="E17" s="20">
        <v>13662.4</v>
      </c>
      <c r="F17" s="20">
        <v>16654.14</v>
      </c>
      <c r="G17" s="20">
        <v>18672.89</v>
      </c>
      <c r="H17" s="21">
        <v>19124.27</v>
      </c>
      <c r="I17" s="20">
        <v>19785.580000000002</v>
      </c>
      <c r="J17" s="20">
        <v>19773.3</v>
      </c>
      <c r="K17" s="20">
        <v>19539.18</v>
      </c>
      <c r="L17" s="20">
        <v>20571.310000000001</v>
      </c>
      <c r="M17" s="20">
        <v>18045.3</v>
      </c>
      <c r="N17" s="20">
        <v>16362.9</v>
      </c>
      <c r="O17" s="20">
        <f>SUM(B17:N17)</f>
        <v>226154.86999999997</v>
      </c>
      <c r="P17" s="48" t="s">
        <v>27</v>
      </c>
    </row>
    <row r="18" spans="1:16" s="2" customFormat="1" ht="30" customHeight="1" x14ac:dyDescent="0.45">
      <c r="A18" s="32" t="s">
        <v>32</v>
      </c>
      <c r="B18" s="65">
        <f>B17*1</f>
        <v>14119.4</v>
      </c>
      <c r="C18" s="65">
        <f t="shared" ref="C18:N18" si="7">C17*1</f>
        <v>15498.7</v>
      </c>
      <c r="D18" s="65">
        <f t="shared" si="7"/>
        <v>14345.5</v>
      </c>
      <c r="E18" s="65">
        <f t="shared" si="7"/>
        <v>13662.4</v>
      </c>
      <c r="F18" s="65">
        <f t="shared" si="7"/>
        <v>16654.14</v>
      </c>
      <c r="G18" s="65">
        <f t="shared" si="7"/>
        <v>18672.89</v>
      </c>
      <c r="H18" s="65">
        <f t="shared" si="7"/>
        <v>19124.27</v>
      </c>
      <c r="I18" s="65">
        <f t="shared" si="7"/>
        <v>19785.580000000002</v>
      </c>
      <c r="J18" s="65">
        <f t="shared" si="7"/>
        <v>19773.3</v>
      </c>
      <c r="K18" s="65">
        <f t="shared" si="7"/>
        <v>19539.18</v>
      </c>
      <c r="L18" s="65">
        <f t="shared" si="7"/>
        <v>20571.310000000001</v>
      </c>
      <c r="M18" s="65">
        <f t="shared" si="7"/>
        <v>18045.3</v>
      </c>
      <c r="N18" s="65">
        <f t="shared" si="7"/>
        <v>16362.9</v>
      </c>
      <c r="O18" s="65">
        <f t="shared" ref="O18:O20" si="8">SUM(B18:N18)</f>
        <v>226154.86999999997</v>
      </c>
      <c r="P18" s="32" t="s">
        <v>32</v>
      </c>
    </row>
    <row r="19" spans="1:16" s="2" customFormat="1" ht="30" customHeight="1" x14ac:dyDescent="0.45">
      <c r="A19" s="34" t="s">
        <v>24</v>
      </c>
      <c r="B19" s="15">
        <f>B18*0.4</f>
        <v>5647.76</v>
      </c>
      <c r="C19" s="15">
        <f t="shared" ref="C19:N19" si="9">C18*0.4</f>
        <v>6199.4800000000005</v>
      </c>
      <c r="D19" s="15">
        <f t="shared" si="9"/>
        <v>5738.2000000000007</v>
      </c>
      <c r="E19" s="15">
        <f t="shared" si="9"/>
        <v>5464.96</v>
      </c>
      <c r="F19" s="15">
        <f t="shared" si="9"/>
        <v>6661.6559999999999</v>
      </c>
      <c r="G19" s="15">
        <f t="shared" si="9"/>
        <v>7469.1559999999999</v>
      </c>
      <c r="H19" s="15">
        <f t="shared" si="9"/>
        <v>7649.7080000000005</v>
      </c>
      <c r="I19" s="15">
        <f t="shared" si="9"/>
        <v>7914.2320000000009</v>
      </c>
      <c r="J19" s="15">
        <f t="shared" si="9"/>
        <v>7909.32</v>
      </c>
      <c r="K19" s="15">
        <f t="shared" si="9"/>
        <v>7815.6720000000005</v>
      </c>
      <c r="L19" s="15">
        <f t="shared" si="9"/>
        <v>8228.5240000000013</v>
      </c>
      <c r="M19" s="15">
        <f t="shared" si="9"/>
        <v>7218.12</v>
      </c>
      <c r="N19" s="15">
        <f t="shared" si="9"/>
        <v>6545.16</v>
      </c>
      <c r="O19" s="15">
        <f t="shared" si="8"/>
        <v>90461.948000000004</v>
      </c>
      <c r="P19" s="34" t="s">
        <v>24</v>
      </c>
    </row>
    <row r="20" spans="1:16" s="2" customFormat="1" ht="30" customHeight="1" thickBot="1" x14ac:dyDescent="0.5">
      <c r="A20" s="36" t="s">
        <v>67</v>
      </c>
      <c r="B20" s="53">
        <f>B18*0.365</f>
        <v>5153.5810000000001</v>
      </c>
      <c r="C20" s="53">
        <f t="shared" ref="C20:N20" si="10">C18*0.365</f>
        <v>5657.0254999999997</v>
      </c>
      <c r="D20" s="53">
        <f t="shared" si="10"/>
        <v>5236.1075000000001</v>
      </c>
      <c r="E20" s="53">
        <f t="shared" si="10"/>
        <v>4986.7759999999998</v>
      </c>
      <c r="F20" s="53">
        <f t="shared" si="10"/>
        <v>6078.7610999999997</v>
      </c>
      <c r="G20" s="53">
        <f t="shared" si="10"/>
        <v>6815.6048499999997</v>
      </c>
      <c r="H20" s="53">
        <f t="shared" si="10"/>
        <v>6980.3585499999999</v>
      </c>
      <c r="I20" s="53">
        <f t="shared" si="10"/>
        <v>7221.7367000000004</v>
      </c>
      <c r="J20" s="53">
        <f t="shared" si="10"/>
        <v>7217.2545</v>
      </c>
      <c r="K20" s="53">
        <f t="shared" si="10"/>
        <v>7131.8006999999998</v>
      </c>
      <c r="L20" s="53">
        <f t="shared" si="10"/>
        <v>7508.5281500000001</v>
      </c>
      <c r="M20" s="53">
        <f t="shared" si="10"/>
        <v>6586.5344999999998</v>
      </c>
      <c r="N20" s="53">
        <f t="shared" si="10"/>
        <v>5972.4584999999997</v>
      </c>
      <c r="O20" s="37">
        <f t="shared" si="8"/>
        <v>82546.527549999984</v>
      </c>
      <c r="P20" s="36" t="s">
        <v>67</v>
      </c>
    </row>
    <row r="21" spans="1:16" s="2" customFormat="1" ht="30" customHeight="1" thickBot="1" x14ac:dyDescent="0.5">
      <c r="A21" s="18" t="s">
        <v>48</v>
      </c>
      <c r="B21" s="60">
        <f>B18-B19-B20</f>
        <v>3318.0589999999993</v>
      </c>
      <c r="C21" s="61">
        <f t="shared" ref="C21:N21" si="11">C18-C19-C20</f>
        <v>3642.1945000000014</v>
      </c>
      <c r="D21" s="61">
        <f t="shared" si="11"/>
        <v>3371.1924999999992</v>
      </c>
      <c r="E21" s="61">
        <f t="shared" si="11"/>
        <v>3210.6639999999989</v>
      </c>
      <c r="F21" s="61">
        <f t="shared" si="11"/>
        <v>3913.7229000000007</v>
      </c>
      <c r="G21" s="61">
        <f t="shared" si="11"/>
        <v>4388.1291500000007</v>
      </c>
      <c r="H21" s="61">
        <f t="shared" si="11"/>
        <v>4494.20345</v>
      </c>
      <c r="I21" s="61">
        <f t="shared" si="11"/>
        <v>4649.6113000000014</v>
      </c>
      <c r="J21" s="61">
        <f t="shared" si="11"/>
        <v>4646.7254999999996</v>
      </c>
      <c r="K21" s="61">
        <f t="shared" si="11"/>
        <v>4591.7073</v>
      </c>
      <c r="L21" s="61">
        <f t="shared" si="11"/>
        <v>4834.25785</v>
      </c>
      <c r="M21" s="61">
        <f t="shared" si="11"/>
        <v>4240.6455000000005</v>
      </c>
      <c r="N21" s="62">
        <f t="shared" si="11"/>
        <v>3845.2815000000001</v>
      </c>
      <c r="O21" s="64">
        <f>O18-O19-O20</f>
        <v>53146.394449999978</v>
      </c>
      <c r="P21" s="18" t="s">
        <v>48</v>
      </c>
    </row>
    <row r="22" spans="1:16" s="2" customFormat="1" ht="30" customHeight="1" thickBot="1" x14ac:dyDescent="0.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63"/>
      <c r="O22" s="16"/>
    </row>
    <row r="23" spans="1:16" s="2" customFormat="1" ht="30" customHeight="1" thickBot="1" x14ac:dyDescent="0.5">
      <c r="A23" s="67" t="s">
        <v>49</v>
      </c>
      <c r="B23" s="54" t="s">
        <v>8</v>
      </c>
      <c r="C23" s="54" t="s">
        <v>9</v>
      </c>
      <c r="D23" s="54" t="s">
        <v>10</v>
      </c>
      <c r="E23" s="55" t="s">
        <v>11</v>
      </c>
      <c r="F23" s="54" t="s">
        <v>12</v>
      </c>
      <c r="G23" s="56" t="s">
        <v>13</v>
      </c>
      <c r="H23" s="57" t="s">
        <v>14</v>
      </c>
      <c r="I23" s="58" t="s">
        <v>15</v>
      </c>
      <c r="J23" s="59" t="s">
        <v>16</v>
      </c>
      <c r="K23" s="59" t="s">
        <v>17</v>
      </c>
      <c r="L23" s="59" t="s">
        <v>18</v>
      </c>
      <c r="M23" s="59" t="s">
        <v>19</v>
      </c>
      <c r="N23" s="59" t="s">
        <v>20</v>
      </c>
      <c r="O23" s="42" t="s">
        <v>21</v>
      </c>
      <c r="P23" s="18" t="s">
        <v>4</v>
      </c>
    </row>
    <row r="24" spans="1:16" s="22" customFormat="1" ht="30" customHeight="1" x14ac:dyDescent="0.45">
      <c r="A24" s="31" t="s">
        <v>27</v>
      </c>
      <c r="B24" s="20">
        <v>11023.45</v>
      </c>
      <c r="C24" s="20">
        <v>12960.87</v>
      </c>
      <c r="D24" s="20">
        <v>12799.4</v>
      </c>
      <c r="E24" s="20">
        <v>13870.74</v>
      </c>
      <c r="F24" s="20">
        <v>15726.48</v>
      </c>
      <c r="G24" s="20">
        <v>21017.34</v>
      </c>
      <c r="H24" s="21">
        <v>20490.66</v>
      </c>
      <c r="I24" s="20">
        <v>20049.91</v>
      </c>
      <c r="J24" s="20">
        <v>19080.66</v>
      </c>
      <c r="K24" s="20">
        <v>14959.05</v>
      </c>
      <c r="L24" s="20">
        <v>14072.31</v>
      </c>
      <c r="M24" s="20">
        <v>15766.3</v>
      </c>
      <c r="N24" s="20">
        <v>12728.3</v>
      </c>
      <c r="O24" s="43">
        <f>SUM(B24:N24)</f>
        <v>204545.46999999997</v>
      </c>
      <c r="P24" s="27" t="s">
        <v>27</v>
      </c>
    </row>
    <row r="25" spans="1:16" s="2" customFormat="1" ht="30" customHeight="1" x14ac:dyDescent="0.45">
      <c r="A25" s="32" t="s">
        <v>29</v>
      </c>
      <c r="B25" s="65">
        <f>B24*1</f>
        <v>11023.45</v>
      </c>
      <c r="C25" s="65">
        <f t="shared" ref="C25:N25" si="12">C24*1</f>
        <v>12960.87</v>
      </c>
      <c r="D25" s="65">
        <f t="shared" si="12"/>
        <v>12799.4</v>
      </c>
      <c r="E25" s="65">
        <f t="shared" si="12"/>
        <v>13870.74</v>
      </c>
      <c r="F25" s="65">
        <f t="shared" si="12"/>
        <v>15726.48</v>
      </c>
      <c r="G25" s="65">
        <f t="shared" si="12"/>
        <v>21017.34</v>
      </c>
      <c r="H25" s="65">
        <f t="shared" si="12"/>
        <v>20490.66</v>
      </c>
      <c r="I25" s="65">
        <f t="shared" si="12"/>
        <v>20049.91</v>
      </c>
      <c r="J25" s="65">
        <f t="shared" si="12"/>
        <v>19080.66</v>
      </c>
      <c r="K25" s="65">
        <f t="shared" si="12"/>
        <v>14959.05</v>
      </c>
      <c r="L25" s="65">
        <f t="shared" si="12"/>
        <v>14072.31</v>
      </c>
      <c r="M25" s="65">
        <f t="shared" si="12"/>
        <v>15766.3</v>
      </c>
      <c r="N25" s="65">
        <f t="shared" si="12"/>
        <v>12728.3</v>
      </c>
      <c r="O25" s="44">
        <f t="shared" ref="O25:O32" si="13">SUM(B25:N25)</f>
        <v>204545.46999999997</v>
      </c>
      <c r="P25" s="28" t="s">
        <v>29</v>
      </c>
    </row>
    <row r="26" spans="1:16" s="2" customFormat="1" ht="30" customHeight="1" x14ac:dyDescent="0.45">
      <c r="A26" s="34" t="s">
        <v>47</v>
      </c>
      <c r="B26" s="15">
        <f>B25*0.41</f>
        <v>4519.6144999999997</v>
      </c>
      <c r="C26" s="15">
        <f t="shared" ref="C26:N26" si="14">C25*0.41</f>
        <v>5313.9566999999997</v>
      </c>
      <c r="D26" s="15">
        <f t="shared" si="14"/>
        <v>5247.7539999999999</v>
      </c>
      <c r="E26" s="15">
        <f t="shared" si="14"/>
        <v>5687.0033999999996</v>
      </c>
      <c r="F26" s="15">
        <f t="shared" si="14"/>
        <v>6447.8567999999996</v>
      </c>
      <c r="G26" s="15">
        <f t="shared" si="14"/>
        <v>8617.1093999999994</v>
      </c>
      <c r="H26" s="15">
        <f t="shared" si="14"/>
        <v>8401.1705999999995</v>
      </c>
      <c r="I26" s="15">
        <f t="shared" si="14"/>
        <v>8220.463099999999</v>
      </c>
      <c r="J26" s="15">
        <f t="shared" si="14"/>
        <v>7823.0705999999991</v>
      </c>
      <c r="K26" s="15">
        <f t="shared" si="14"/>
        <v>6133.2104999999992</v>
      </c>
      <c r="L26" s="15">
        <f t="shared" si="14"/>
        <v>5769.6470999999992</v>
      </c>
      <c r="M26" s="15">
        <f t="shared" si="14"/>
        <v>6464.1829999999991</v>
      </c>
      <c r="N26" s="15">
        <f t="shared" si="14"/>
        <v>5218.6029999999992</v>
      </c>
      <c r="O26" s="44">
        <f t="shared" si="13"/>
        <v>83863.642700000011</v>
      </c>
      <c r="P26" s="29" t="s">
        <v>47</v>
      </c>
    </row>
    <row r="27" spans="1:16" s="2" customFormat="1" ht="30" customHeight="1" thickBot="1" x14ac:dyDescent="0.5">
      <c r="A27" s="36" t="s">
        <v>62</v>
      </c>
      <c r="B27" s="37">
        <f>B25*0.37</f>
        <v>4078.6765</v>
      </c>
      <c r="C27" s="37">
        <f t="shared" ref="C27:N27" si="15">C25*0.37</f>
        <v>4795.5219000000006</v>
      </c>
      <c r="D27" s="37">
        <f t="shared" si="15"/>
        <v>4735.7780000000002</v>
      </c>
      <c r="E27" s="37">
        <f t="shared" si="15"/>
        <v>5132.1737999999996</v>
      </c>
      <c r="F27" s="37">
        <f t="shared" si="15"/>
        <v>5818.7975999999999</v>
      </c>
      <c r="G27" s="37">
        <f t="shared" si="15"/>
        <v>7776.4157999999998</v>
      </c>
      <c r="H27" s="37">
        <f t="shared" si="15"/>
        <v>7581.5442000000003</v>
      </c>
      <c r="I27" s="37">
        <f t="shared" si="15"/>
        <v>7418.4666999999999</v>
      </c>
      <c r="J27" s="37">
        <f t="shared" si="15"/>
        <v>7059.8441999999995</v>
      </c>
      <c r="K27" s="37">
        <f t="shared" si="15"/>
        <v>5534.8485000000001</v>
      </c>
      <c r="L27" s="37">
        <f t="shared" si="15"/>
        <v>5206.7546999999995</v>
      </c>
      <c r="M27" s="37">
        <f t="shared" si="15"/>
        <v>5833.5309999999999</v>
      </c>
      <c r="N27" s="37">
        <f t="shared" si="15"/>
        <v>4709.4709999999995</v>
      </c>
      <c r="O27" s="45">
        <f t="shared" si="13"/>
        <v>75681.823900000003</v>
      </c>
      <c r="P27" s="30" t="s">
        <v>26</v>
      </c>
    </row>
    <row r="28" spans="1:16" s="2" customFormat="1" ht="30" customHeight="1" thickBot="1" x14ac:dyDescent="0.5">
      <c r="A28" s="18" t="s">
        <v>48</v>
      </c>
      <c r="B28" s="60">
        <f>B25-B26-B27</f>
        <v>2425.159000000001</v>
      </c>
      <c r="C28" s="61">
        <f t="shared" ref="C28:N28" si="16">C25-C26-C27</f>
        <v>2851.3914000000004</v>
      </c>
      <c r="D28" s="61">
        <f t="shared" si="16"/>
        <v>2815.8679999999995</v>
      </c>
      <c r="E28" s="61">
        <f t="shared" si="16"/>
        <v>3051.5628000000006</v>
      </c>
      <c r="F28" s="61">
        <f t="shared" si="16"/>
        <v>3459.8256000000001</v>
      </c>
      <c r="G28" s="61">
        <f t="shared" si="16"/>
        <v>4623.814800000001</v>
      </c>
      <c r="H28" s="61">
        <f t="shared" si="16"/>
        <v>4507.9452000000001</v>
      </c>
      <c r="I28" s="61">
        <f t="shared" si="16"/>
        <v>4410.9802000000009</v>
      </c>
      <c r="J28" s="61">
        <f t="shared" si="16"/>
        <v>4197.7452000000012</v>
      </c>
      <c r="K28" s="61">
        <f t="shared" si="16"/>
        <v>3290.991</v>
      </c>
      <c r="L28" s="61">
        <f t="shared" si="16"/>
        <v>3095.9081999999999</v>
      </c>
      <c r="M28" s="61">
        <f t="shared" si="16"/>
        <v>3468.5860000000002</v>
      </c>
      <c r="N28" s="62">
        <f t="shared" si="16"/>
        <v>2800.2260000000006</v>
      </c>
      <c r="O28" s="64">
        <f>O25-O26-O27</f>
        <v>45000.003399999958</v>
      </c>
      <c r="P28" s="18" t="s">
        <v>48</v>
      </c>
    </row>
    <row r="29" spans="1:16" s="22" customFormat="1" ht="30" customHeight="1" x14ac:dyDescent="0.45">
      <c r="A29" s="39" t="s">
        <v>28</v>
      </c>
      <c r="B29" s="40">
        <v>4207.8999999999996</v>
      </c>
      <c r="C29" s="40">
        <v>4438.12</v>
      </c>
      <c r="D29" s="40">
        <v>4192.09</v>
      </c>
      <c r="E29" s="40">
        <v>5228.6000000000004</v>
      </c>
      <c r="F29" s="40">
        <v>6054.74</v>
      </c>
      <c r="G29" s="40">
        <v>6908.35</v>
      </c>
      <c r="H29" s="41">
        <v>7239.5</v>
      </c>
      <c r="I29" s="40">
        <v>7363.69</v>
      </c>
      <c r="J29" s="40">
        <v>6547.46</v>
      </c>
      <c r="K29" s="40">
        <v>5917.65</v>
      </c>
      <c r="L29" s="40">
        <v>5897.66</v>
      </c>
      <c r="M29" s="40">
        <v>6153</v>
      </c>
      <c r="N29" s="40">
        <v>3957.5</v>
      </c>
      <c r="O29" s="46">
        <f>SUM(B29:N29)</f>
        <v>74106.259999999995</v>
      </c>
      <c r="P29" s="47" t="s">
        <v>28</v>
      </c>
    </row>
    <row r="30" spans="1:16" ht="32.5" customHeight="1" x14ac:dyDescent="0.45">
      <c r="A30" s="31" t="s">
        <v>30</v>
      </c>
      <c r="B30" s="15">
        <f t="shared" ref="B30:N30" si="17">B29*1.01</f>
        <v>4249.9789999999994</v>
      </c>
      <c r="C30" s="15">
        <f t="shared" si="17"/>
        <v>4482.5011999999997</v>
      </c>
      <c r="D30" s="15">
        <f t="shared" si="17"/>
        <v>4234.0109000000002</v>
      </c>
      <c r="E30" s="15">
        <f t="shared" si="17"/>
        <v>5280.8860000000004</v>
      </c>
      <c r="F30" s="15">
        <f t="shared" si="17"/>
        <v>6115.2874000000002</v>
      </c>
      <c r="G30" s="15">
        <f t="shared" si="17"/>
        <v>6977.4335000000001</v>
      </c>
      <c r="H30" s="15">
        <f t="shared" si="17"/>
        <v>7311.8950000000004</v>
      </c>
      <c r="I30" s="15">
        <f t="shared" si="17"/>
        <v>7437.3269</v>
      </c>
      <c r="J30" s="15">
        <f t="shared" si="17"/>
        <v>6612.9346000000005</v>
      </c>
      <c r="K30" s="15">
        <f t="shared" si="17"/>
        <v>5976.8265000000001</v>
      </c>
      <c r="L30" s="15">
        <f t="shared" si="17"/>
        <v>5956.6365999999998</v>
      </c>
      <c r="M30" s="15">
        <f t="shared" si="17"/>
        <v>6214.53</v>
      </c>
      <c r="N30" s="15">
        <f t="shared" si="17"/>
        <v>3997.0749999999998</v>
      </c>
      <c r="O30" s="44">
        <f t="shared" si="13"/>
        <v>74847.3226</v>
      </c>
      <c r="P30" s="27" t="s">
        <v>30</v>
      </c>
    </row>
    <row r="31" spans="1:16" ht="32.5" customHeight="1" x14ac:dyDescent="0.45">
      <c r="A31" s="34" t="s">
        <v>24</v>
      </c>
      <c r="B31" s="15">
        <f>B30*0.4</f>
        <v>1699.9915999999998</v>
      </c>
      <c r="C31" s="15">
        <f>C30*0.4</f>
        <v>1793.0004799999999</v>
      </c>
      <c r="D31" s="15">
        <f t="shared" ref="D31:N31" si="18">D30*0.4</f>
        <v>1693.6043600000003</v>
      </c>
      <c r="E31" s="15">
        <f>E30*0.4</f>
        <v>2112.3544000000002</v>
      </c>
      <c r="F31" s="15">
        <f t="shared" si="18"/>
        <v>2446.1149600000003</v>
      </c>
      <c r="G31" s="15">
        <f t="shared" si="18"/>
        <v>2790.9734000000003</v>
      </c>
      <c r="H31" s="15">
        <f t="shared" si="18"/>
        <v>2924.7580000000003</v>
      </c>
      <c r="I31" s="15">
        <f t="shared" si="18"/>
        <v>2974.9307600000002</v>
      </c>
      <c r="J31" s="15">
        <f t="shared" si="18"/>
        <v>2645.1738400000004</v>
      </c>
      <c r="K31" s="15">
        <f t="shared" si="18"/>
        <v>2390.7306000000003</v>
      </c>
      <c r="L31" s="15">
        <f t="shared" si="18"/>
        <v>2382.6546400000002</v>
      </c>
      <c r="M31" s="15">
        <f t="shared" si="18"/>
        <v>2485.8119999999999</v>
      </c>
      <c r="N31" s="15">
        <f t="shared" si="18"/>
        <v>1598.83</v>
      </c>
      <c r="O31" s="44">
        <f t="shared" si="13"/>
        <v>29938.929040000003</v>
      </c>
      <c r="P31" s="29" t="s">
        <v>24</v>
      </c>
    </row>
    <row r="32" spans="1:16" ht="32.5" customHeight="1" thickBot="1" x14ac:dyDescent="0.5">
      <c r="A32" s="36" t="s">
        <v>62</v>
      </c>
      <c r="B32" s="37">
        <f>B30*0.37</f>
        <v>1572.4922299999998</v>
      </c>
      <c r="C32" s="37">
        <f t="shared" ref="C32:N32" si="19">C30*0.37</f>
        <v>1658.5254439999999</v>
      </c>
      <c r="D32" s="37">
        <f t="shared" si="19"/>
        <v>1566.5840330000001</v>
      </c>
      <c r="E32" s="37">
        <f t="shared" si="19"/>
        <v>1953.9278200000001</v>
      </c>
      <c r="F32" s="37">
        <f t="shared" si="19"/>
        <v>2262.6563380000002</v>
      </c>
      <c r="G32" s="37">
        <f t="shared" si="19"/>
        <v>2581.6503950000001</v>
      </c>
      <c r="H32" s="37">
        <f t="shared" si="19"/>
        <v>2705.4011500000001</v>
      </c>
      <c r="I32" s="37">
        <f t="shared" si="19"/>
        <v>2751.8109530000002</v>
      </c>
      <c r="J32" s="37">
        <f t="shared" si="19"/>
        <v>2446.7858020000003</v>
      </c>
      <c r="K32" s="37">
        <f t="shared" si="19"/>
        <v>2211.4258049999999</v>
      </c>
      <c r="L32" s="37">
        <f t="shared" si="19"/>
        <v>2203.9555419999997</v>
      </c>
      <c r="M32" s="37">
        <f t="shared" si="19"/>
        <v>2299.3761</v>
      </c>
      <c r="N32" s="37">
        <f t="shared" si="19"/>
        <v>1478.9177499999998</v>
      </c>
      <c r="O32" s="45">
        <f t="shared" si="13"/>
        <v>27693.509362000001</v>
      </c>
      <c r="P32" s="30" t="s">
        <v>68</v>
      </c>
    </row>
    <row r="33" spans="1:17" s="2" customFormat="1" ht="30" customHeight="1" thickBot="1" x14ac:dyDescent="0.5">
      <c r="A33" s="18" t="s">
        <v>48</v>
      </c>
      <c r="B33" s="60">
        <f>B30-B31-B32</f>
        <v>977.49516999999969</v>
      </c>
      <c r="C33" s="61">
        <f t="shared" ref="C33:N33" si="20">C30-C31-C32</f>
        <v>1030.9752760000001</v>
      </c>
      <c r="D33" s="61">
        <f t="shared" si="20"/>
        <v>973.82250699999986</v>
      </c>
      <c r="E33" s="61">
        <f t="shared" si="20"/>
        <v>1214.6037800000001</v>
      </c>
      <c r="F33" s="61">
        <f t="shared" si="20"/>
        <v>1406.5161019999996</v>
      </c>
      <c r="G33" s="61">
        <f t="shared" si="20"/>
        <v>1604.8097050000001</v>
      </c>
      <c r="H33" s="61">
        <f t="shared" si="20"/>
        <v>1681.7358500000005</v>
      </c>
      <c r="I33" s="61">
        <f t="shared" si="20"/>
        <v>1710.5851869999997</v>
      </c>
      <c r="J33" s="61">
        <f t="shared" si="20"/>
        <v>1520.9749579999998</v>
      </c>
      <c r="K33" s="61">
        <f t="shared" si="20"/>
        <v>1374.6700949999999</v>
      </c>
      <c r="L33" s="61">
        <f t="shared" si="20"/>
        <v>1370.0264179999999</v>
      </c>
      <c r="M33" s="61">
        <f t="shared" si="20"/>
        <v>1429.3418999999999</v>
      </c>
      <c r="N33" s="62">
        <f t="shared" si="20"/>
        <v>919.32725000000005</v>
      </c>
      <c r="O33" s="64">
        <f>O30-O31-O32</f>
        <v>17214.884197999996</v>
      </c>
      <c r="P33" s="18" t="s">
        <v>48</v>
      </c>
    </row>
    <row r="34" spans="1:17" s="2" customFormat="1" ht="30" customHeight="1" thickBot="1" x14ac:dyDescent="0.5">
      <c r="A34" s="16"/>
      <c r="B34" s="16" t="s">
        <v>51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63"/>
      <c r="O34" s="16"/>
    </row>
    <row r="35" spans="1:17" s="2" customFormat="1" ht="30" customHeight="1" thickBot="1" x14ac:dyDescent="0.5">
      <c r="A35" s="71" t="s">
        <v>52</v>
      </c>
      <c r="B35" s="54" t="s">
        <v>8</v>
      </c>
      <c r="C35" s="54" t="s">
        <v>9</v>
      </c>
      <c r="D35" s="54" t="s">
        <v>10</v>
      </c>
      <c r="E35" s="55" t="s">
        <v>11</v>
      </c>
      <c r="F35" s="54" t="s">
        <v>12</v>
      </c>
      <c r="G35" s="56" t="s">
        <v>13</v>
      </c>
      <c r="H35" s="57" t="s">
        <v>14</v>
      </c>
      <c r="I35" s="58" t="s">
        <v>15</v>
      </c>
      <c r="J35" s="59" t="s">
        <v>16</v>
      </c>
      <c r="K35" s="59" t="s">
        <v>17</v>
      </c>
      <c r="L35" s="59" t="s">
        <v>18</v>
      </c>
      <c r="M35" s="59" t="s">
        <v>19</v>
      </c>
      <c r="N35" s="59" t="s">
        <v>20</v>
      </c>
      <c r="O35" s="42" t="s">
        <v>21</v>
      </c>
      <c r="P35" s="18" t="s">
        <v>4</v>
      </c>
    </row>
    <row r="36" spans="1:17" s="22" customFormat="1" ht="30" customHeight="1" x14ac:dyDescent="0.45">
      <c r="A36" s="31" t="s">
        <v>38</v>
      </c>
      <c r="B36" s="20">
        <v>102915.3</v>
      </c>
      <c r="C36" s="20">
        <v>109151.32</v>
      </c>
      <c r="D36" s="20">
        <v>112138.58</v>
      </c>
      <c r="E36" s="20">
        <v>102584.82</v>
      </c>
      <c r="F36" s="20">
        <v>123877.67</v>
      </c>
      <c r="G36" s="20">
        <v>132507.67000000001</v>
      </c>
      <c r="H36" s="21">
        <v>160262.45000000001</v>
      </c>
      <c r="I36" s="20">
        <v>175033.47</v>
      </c>
      <c r="J36" s="20">
        <v>170558.65</v>
      </c>
      <c r="K36" s="20">
        <v>124548.08</v>
      </c>
      <c r="L36" s="20">
        <v>118713.97</v>
      </c>
      <c r="M36" s="20">
        <v>120799.8</v>
      </c>
      <c r="N36" s="20">
        <v>69757.600000000006</v>
      </c>
      <c r="O36" s="20">
        <f>SUM(B36:N36)</f>
        <v>1622849.3800000001</v>
      </c>
      <c r="P36" s="50" t="s">
        <v>38</v>
      </c>
    </row>
    <row r="37" spans="1:17" s="11" customFormat="1" ht="30" customHeight="1" x14ac:dyDescent="0.45">
      <c r="A37" s="32" t="s">
        <v>39</v>
      </c>
      <c r="B37" s="15">
        <f>B36*1</f>
        <v>102915.3</v>
      </c>
      <c r="C37" s="15">
        <f>C36*1</f>
        <v>109151.32</v>
      </c>
      <c r="D37" s="15">
        <f t="shared" ref="D37" si="21">D36*1.01</f>
        <v>113259.96580000001</v>
      </c>
      <c r="E37" s="15">
        <f>E36*1.02</f>
        <v>104636.51640000001</v>
      </c>
      <c r="F37" s="15">
        <f>F36*1.02</f>
        <v>126355.2234</v>
      </c>
      <c r="G37" s="15">
        <f t="shared" ref="G37:H37" si="22">G36*1.03</f>
        <v>136482.90010000003</v>
      </c>
      <c r="H37" s="15">
        <f t="shared" si="22"/>
        <v>165070.32350000003</v>
      </c>
      <c r="I37" s="15">
        <f>I36*1.04</f>
        <v>182034.8088</v>
      </c>
      <c r="J37" s="15">
        <f>J36*1.04</f>
        <v>177380.99600000001</v>
      </c>
      <c r="K37" s="15">
        <f>K36*1.03</f>
        <v>128284.5224</v>
      </c>
      <c r="L37" s="15">
        <f>L36*1.03</f>
        <v>122275.3891</v>
      </c>
      <c r="M37" s="15">
        <f>M36*1.05</f>
        <v>126839.79000000001</v>
      </c>
      <c r="N37" s="15">
        <f>N36*1.05</f>
        <v>73245.48000000001</v>
      </c>
      <c r="O37" s="15">
        <f t="shared" ref="O37:O45" si="23">SUM(B37:N37)</f>
        <v>1667932.5355</v>
      </c>
      <c r="P37" s="33" t="s">
        <v>39</v>
      </c>
    </row>
    <row r="38" spans="1:17" ht="30" customHeight="1" x14ac:dyDescent="0.45">
      <c r="A38" s="34" t="s">
        <v>58</v>
      </c>
      <c r="B38" s="15">
        <f>B37*0.275</f>
        <v>28301.707500000004</v>
      </c>
      <c r="C38" s="15">
        <f t="shared" ref="C38:N38" si="24">C37*0.275</f>
        <v>30016.613000000005</v>
      </c>
      <c r="D38" s="15">
        <f t="shared" si="24"/>
        <v>31146.490595000003</v>
      </c>
      <c r="E38" s="15">
        <f t="shared" si="24"/>
        <v>28775.042010000005</v>
      </c>
      <c r="F38" s="15">
        <f t="shared" si="24"/>
        <v>34747.686435000003</v>
      </c>
      <c r="G38" s="15">
        <f t="shared" si="24"/>
        <v>37532.797527500014</v>
      </c>
      <c r="H38" s="15">
        <f t="shared" si="24"/>
        <v>45394.338962500013</v>
      </c>
      <c r="I38" s="15">
        <f t="shared" si="24"/>
        <v>50059.572420000004</v>
      </c>
      <c r="J38" s="15">
        <f t="shared" si="24"/>
        <v>48779.773900000007</v>
      </c>
      <c r="K38" s="15">
        <f t="shared" si="24"/>
        <v>35278.24366</v>
      </c>
      <c r="L38" s="15">
        <f t="shared" si="24"/>
        <v>33625.732002500001</v>
      </c>
      <c r="M38" s="15">
        <f t="shared" si="24"/>
        <v>34880.942250000007</v>
      </c>
      <c r="N38" s="15">
        <f t="shared" si="24"/>
        <v>20142.507000000005</v>
      </c>
      <c r="O38" s="15">
        <f t="shared" si="23"/>
        <v>458681.44726250006</v>
      </c>
      <c r="P38" s="35" t="s">
        <v>25</v>
      </c>
    </row>
    <row r="39" spans="1:17" s="2" customFormat="1" ht="30" customHeight="1" thickBot="1" x14ac:dyDescent="0.5">
      <c r="A39" s="68" t="s">
        <v>68</v>
      </c>
      <c r="B39" s="51">
        <f>B37*0.44</f>
        <v>45282.732000000004</v>
      </c>
      <c r="C39" s="51">
        <f>C37*0.42</f>
        <v>45843.554400000001</v>
      </c>
      <c r="D39" s="51">
        <f>D37*0.42</f>
        <v>47569.185636000002</v>
      </c>
      <c r="E39" s="51">
        <f>E37*0.41</f>
        <v>42900.971724000003</v>
      </c>
      <c r="F39" s="51">
        <f>F37*0.36</f>
        <v>45487.880424000003</v>
      </c>
      <c r="G39" s="51">
        <f>G37*0.36</f>
        <v>49133.84403600001</v>
      </c>
      <c r="H39" s="51">
        <f>H37*0.33</f>
        <v>54473.206755000014</v>
      </c>
      <c r="I39" s="51">
        <f>I37*0.32</f>
        <v>58251.138815999999</v>
      </c>
      <c r="J39" s="51">
        <f>J37*0.32</f>
        <v>56761.918720000009</v>
      </c>
      <c r="K39" s="51">
        <f>K37*0.32</f>
        <v>41051.047168000005</v>
      </c>
      <c r="L39" s="51">
        <f>L37*0.4</f>
        <v>48910.155640000004</v>
      </c>
      <c r="M39" s="51">
        <f>M37*0.42</f>
        <v>53272.711800000005</v>
      </c>
      <c r="N39" s="51">
        <f>N37*0.43</f>
        <v>31495.556400000005</v>
      </c>
      <c r="O39" s="51">
        <f t="shared" si="23"/>
        <v>620433.90351900016</v>
      </c>
      <c r="P39" s="38" t="s">
        <v>68</v>
      </c>
      <c r="Q39" s="49">
        <f>O39/O37</f>
        <v>0.37197781703623356</v>
      </c>
    </row>
    <row r="40" spans="1:17" s="2" customFormat="1" ht="30" customHeight="1" thickBot="1" x14ac:dyDescent="0.5">
      <c r="A40" s="18" t="s">
        <v>48</v>
      </c>
      <c r="B40" s="60">
        <f>B37-B38-B39</f>
        <v>29330.860499999995</v>
      </c>
      <c r="C40" s="61">
        <f t="shared" ref="C40:N40" si="25">C37-C38-C39</f>
        <v>33291.152599999994</v>
      </c>
      <c r="D40" s="61">
        <f t="shared" si="25"/>
        <v>34544.289568999993</v>
      </c>
      <c r="E40" s="61">
        <f>E37-E38-E39</f>
        <v>32960.502666</v>
      </c>
      <c r="F40" s="61">
        <f t="shared" si="25"/>
        <v>46119.656541000004</v>
      </c>
      <c r="G40" s="61">
        <f t="shared" si="25"/>
        <v>49816.258536499998</v>
      </c>
      <c r="H40" s="61">
        <f t="shared" si="25"/>
        <v>65202.777782500001</v>
      </c>
      <c r="I40" s="61">
        <f t="shared" si="25"/>
        <v>73724.097563999996</v>
      </c>
      <c r="J40" s="61">
        <f t="shared" si="25"/>
        <v>71839.303379999998</v>
      </c>
      <c r="K40" s="61">
        <f t="shared" si="25"/>
        <v>51955.231572000004</v>
      </c>
      <c r="L40" s="61">
        <f t="shared" si="25"/>
        <v>39739.501457499988</v>
      </c>
      <c r="M40" s="61">
        <f t="shared" si="25"/>
        <v>38686.135949999996</v>
      </c>
      <c r="N40" s="62">
        <f t="shared" si="25"/>
        <v>21607.4166</v>
      </c>
      <c r="O40" s="64">
        <f>O37-O38-O39</f>
        <v>588817.18471849966</v>
      </c>
      <c r="P40" s="18" t="s">
        <v>48</v>
      </c>
    </row>
    <row r="41" spans="1:17" s="2" customFormat="1" ht="30" customHeight="1" thickBot="1" x14ac:dyDescent="0.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63"/>
      <c r="O41" s="16"/>
    </row>
    <row r="42" spans="1:17" s="22" customFormat="1" ht="30" customHeight="1" x14ac:dyDescent="0.45">
      <c r="A42" s="39" t="s">
        <v>50</v>
      </c>
      <c r="B42" s="40">
        <v>32424.16</v>
      </c>
      <c r="C42" s="40">
        <v>35212.370000000003</v>
      </c>
      <c r="D42" s="40">
        <v>37638.92</v>
      </c>
      <c r="E42" s="40">
        <v>36980.120000000003</v>
      </c>
      <c r="F42" s="40">
        <v>43785.490000000005</v>
      </c>
      <c r="G42" s="40">
        <v>53065.14</v>
      </c>
      <c r="H42" s="41">
        <v>42313.5</v>
      </c>
      <c r="I42" s="40">
        <v>62850.759999999995</v>
      </c>
      <c r="J42" s="40">
        <v>62901.53</v>
      </c>
      <c r="K42" s="40">
        <v>53602.03</v>
      </c>
      <c r="L42" s="40">
        <v>47479.57</v>
      </c>
      <c r="M42" s="40">
        <v>46150</v>
      </c>
      <c r="N42" s="40">
        <v>46137.8</v>
      </c>
      <c r="O42" s="40">
        <f>SUM(B42:N42)</f>
        <v>600541.39000000013</v>
      </c>
      <c r="P42" s="52" t="s">
        <v>40</v>
      </c>
    </row>
    <row r="43" spans="1:17" s="2" customFormat="1" ht="30" customHeight="1" x14ac:dyDescent="0.45">
      <c r="A43" s="32" t="s">
        <v>41</v>
      </c>
      <c r="B43" s="15">
        <f t="shared" ref="B43" si="26">B42*1.02</f>
        <v>33072.643199999999</v>
      </c>
      <c r="C43" s="15">
        <f>C42*1.02</f>
        <v>35916.617400000003</v>
      </c>
      <c r="D43" s="15">
        <f t="shared" ref="D43:N43" si="27">D42*1.02</f>
        <v>38391.698400000001</v>
      </c>
      <c r="E43" s="15">
        <f t="shared" si="27"/>
        <v>37719.722400000006</v>
      </c>
      <c r="F43" s="15">
        <f t="shared" si="27"/>
        <v>44661.199800000009</v>
      </c>
      <c r="G43" s="15">
        <f t="shared" si="27"/>
        <v>54126.442799999997</v>
      </c>
      <c r="H43" s="15">
        <f t="shared" si="27"/>
        <v>43159.770000000004</v>
      </c>
      <c r="I43" s="15">
        <f t="shared" si="27"/>
        <v>64107.775199999996</v>
      </c>
      <c r="J43" s="15">
        <f t="shared" si="27"/>
        <v>64159.560599999997</v>
      </c>
      <c r="K43" s="15">
        <f t="shared" si="27"/>
        <v>54674.070599999999</v>
      </c>
      <c r="L43" s="15">
        <f t="shared" si="27"/>
        <v>48429.161399999997</v>
      </c>
      <c r="M43" s="15">
        <f t="shared" si="27"/>
        <v>47073</v>
      </c>
      <c r="N43" s="15">
        <f t="shared" si="27"/>
        <v>47060.556000000004</v>
      </c>
      <c r="O43" s="15">
        <f t="shared" si="23"/>
        <v>612552.21779999987</v>
      </c>
      <c r="P43" s="33" t="s">
        <v>41</v>
      </c>
    </row>
    <row r="44" spans="1:17" s="2" customFormat="1" ht="30" customHeight="1" x14ac:dyDescent="0.45">
      <c r="A44" s="34" t="s">
        <v>23</v>
      </c>
      <c r="B44" s="15">
        <f>B43*0.44</f>
        <v>14551.963007999999</v>
      </c>
      <c r="C44" s="15">
        <f t="shared" ref="C44:N44" si="28">C43*0.44</f>
        <v>15803.311656000002</v>
      </c>
      <c r="D44" s="15">
        <f t="shared" si="28"/>
        <v>16892.347296</v>
      </c>
      <c r="E44" s="15">
        <f t="shared" si="28"/>
        <v>16596.677856000002</v>
      </c>
      <c r="F44" s="15">
        <f t="shared" si="28"/>
        <v>19650.927912000003</v>
      </c>
      <c r="G44" s="15">
        <f t="shared" si="28"/>
        <v>23815.634832</v>
      </c>
      <c r="H44" s="15">
        <f t="shared" si="28"/>
        <v>18990.2988</v>
      </c>
      <c r="I44" s="15">
        <f t="shared" si="28"/>
        <v>28207.421087999999</v>
      </c>
      <c r="J44" s="15">
        <f t="shared" si="28"/>
        <v>28230.206663999998</v>
      </c>
      <c r="K44" s="15">
        <f t="shared" si="28"/>
        <v>24056.591064</v>
      </c>
      <c r="L44" s="15">
        <f t="shared" si="28"/>
        <v>21308.831016</v>
      </c>
      <c r="M44" s="15">
        <f t="shared" si="28"/>
        <v>20712.12</v>
      </c>
      <c r="N44" s="15">
        <f t="shared" si="28"/>
        <v>20706.644640000002</v>
      </c>
      <c r="O44" s="15">
        <f t="shared" si="23"/>
        <v>269522.97583200003</v>
      </c>
      <c r="P44" s="35" t="s">
        <v>23</v>
      </c>
    </row>
    <row r="45" spans="1:17" s="2" customFormat="1" ht="30" customHeight="1" thickBot="1" x14ac:dyDescent="0.5">
      <c r="A45" s="36" t="s">
        <v>61</v>
      </c>
      <c r="B45" s="37">
        <f>B43*0.4</f>
        <v>13229.057280000001</v>
      </c>
      <c r="C45" s="37">
        <f t="shared" ref="C45:N45" si="29">C43*0.4</f>
        <v>14366.646960000002</v>
      </c>
      <c r="D45" s="37">
        <f t="shared" si="29"/>
        <v>15356.679360000002</v>
      </c>
      <c r="E45" s="37">
        <f t="shared" si="29"/>
        <v>15087.888960000004</v>
      </c>
      <c r="F45" s="37">
        <f t="shared" si="29"/>
        <v>17864.479920000005</v>
      </c>
      <c r="G45" s="37">
        <f t="shared" si="29"/>
        <v>21650.577120000002</v>
      </c>
      <c r="H45" s="37">
        <f t="shared" si="29"/>
        <v>17263.908000000003</v>
      </c>
      <c r="I45" s="37">
        <f t="shared" si="29"/>
        <v>25643.110079999999</v>
      </c>
      <c r="J45" s="37">
        <f t="shared" si="29"/>
        <v>25663.824240000002</v>
      </c>
      <c r="K45" s="37">
        <f t="shared" si="29"/>
        <v>21869.628240000002</v>
      </c>
      <c r="L45" s="37">
        <f t="shared" si="29"/>
        <v>19371.664560000001</v>
      </c>
      <c r="M45" s="37">
        <f t="shared" si="29"/>
        <v>18829.2</v>
      </c>
      <c r="N45" s="37">
        <f t="shared" si="29"/>
        <v>18824.222400000002</v>
      </c>
      <c r="O45" s="37">
        <f t="shared" si="23"/>
        <v>245020.88712</v>
      </c>
      <c r="P45" s="38" t="s">
        <v>61</v>
      </c>
    </row>
    <row r="46" spans="1:17" s="2" customFormat="1" ht="30" customHeight="1" thickBot="1" x14ac:dyDescent="0.5">
      <c r="A46" s="18" t="s">
        <v>48</v>
      </c>
      <c r="B46" s="60">
        <f>B43-B44-B45</f>
        <v>5291.6229119999989</v>
      </c>
      <c r="C46" s="61">
        <f t="shared" ref="C46:N46" si="30">C43-C44-C45</f>
        <v>5746.6587839999993</v>
      </c>
      <c r="D46" s="61">
        <f t="shared" si="30"/>
        <v>6142.6717439999993</v>
      </c>
      <c r="E46" s="61">
        <f t="shared" si="30"/>
        <v>6035.1555840000001</v>
      </c>
      <c r="F46" s="61">
        <f t="shared" si="30"/>
        <v>7145.7919680000014</v>
      </c>
      <c r="G46" s="61">
        <f t="shared" si="30"/>
        <v>8660.2308479999956</v>
      </c>
      <c r="H46" s="61">
        <f t="shared" si="30"/>
        <v>6905.5632000000005</v>
      </c>
      <c r="I46" s="61">
        <f t="shared" si="30"/>
        <v>10257.244032000002</v>
      </c>
      <c r="J46" s="61">
        <f t="shared" si="30"/>
        <v>10265.529695999998</v>
      </c>
      <c r="K46" s="61">
        <f t="shared" si="30"/>
        <v>8747.8512959999971</v>
      </c>
      <c r="L46" s="61">
        <f t="shared" si="30"/>
        <v>7748.6658239999961</v>
      </c>
      <c r="M46" s="61">
        <f t="shared" si="30"/>
        <v>7531.68</v>
      </c>
      <c r="N46" s="62">
        <f t="shared" si="30"/>
        <v>7529.6889599999995</v>
      </c>
      <c r="O46" s="64">
        <f>O43-O44-O45</f>
        <v>98008.354847999843</v>
      </c>
      <c r="P46" s="18" t="s">
        <v>48</v>
      </c>
    </row>
    <row r="47" spans="1:17" s="2" customFormat="1" ht="30" customHeight="1" thickBot="1" x14ac:dyDescent="0.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63"/>
      <c r="O47" s="16"/>
    </row>
    <row r="48" spans="1:17" s="2" customFormat="1" ht="30" customHeight="1" thickBot="1" x14ac:dyDescent="0.5">
      <c r="A48" s="71" t="s">
        <v>1</v>
      </c>
      <c r="B48" s="3" t="s">
        <v>8</v>
      </c>
      <c r="C48" s="3" t="s">
        <v>9</v>
      </c>
      <c r="D48" s="3" t="s">
        <v>10</v>
      </c>
      <c r="E48" s="4" t="s">
        <v>11</v>
      </c>
      <c r="F48" s="3" t="s">
        <v>12</v>
      </c>
      <c r="G48" s="5" t="s">
        <v>13</v>
      </c>
      <c r="H48" s="6" t="s">
        <v>14</v>
      </c>
      <c r="I48" s="7" t="s">
        <v>15</v>
      </c>
      <c r="J48" s="8" t="s">
        <v>16</v>
      </c>
      <c r="K48" s="8" t="s">
        <v>17</v>
      </c>
      <c r="L48" s="8" t="s">
        <v>18</v>
      </c>
      <c r="M48" s="8" t="s">
        <v>19</v>
      </c>
      <c r="N48" s="8" t="s">
        <v>20</v>
      </c>
      <c r="O48" s="3" t="s">
        <v>21</v>
      </c>
      <c r="P48" s="18" t="s">
        <v>1</v>
      </c>
    </row>
    <row r="49" spans="1:16" s="22" customFormat="1" ht="30" customHeight="1" x14ac:dyDescent="0.45">
      <c r="A49" s="23" t="s">
        <v>27</v>
      </c>
      <c r="B49" s="20">
        <v>10225</v>
      </c>
      <c r="C49" s="20">
        <v>10225</v>
      </c>
      <c r="D49" s="20">
        <v>11091.3</v>
      </c>
      <c r="E49" s="20">
        <v>12792.7</v>
      </c>
      <c r="F49" s="20">
        <v>12017.7</v>
      </c>
      <c r="G49" s="20">
        <v>12278.7</v>
      </c>
      <c r="H49" s="21">
        <v>12508.4</v>
      </c>
      <c r="I49" s="20">
        <v>14298.3</v>
      </c>
      <c r="J49" s="20">
        <v>13392.6</v>
      </c>
      <c r="K49" s="20">
        <v>10368.700000000001</v>
      </c>
      <c r="L49" s="20">
        <v>11527.3</v>
      </c>
      <c r="M49" s="20">
        <v>9743.1</v>
      </c>
      <c r="N49" s="20">
        <v>10290.799999999999</v>
      </c>
      <c r="O49" s="20">
        <f>SUM(B49:N49)</f>
        <v>150759.59999999998</v>
      </c>
      <c r="P49" s="23" t="s">
        <v>27</v>
      </c>
    </row>
    <row r="50" spans="1:16" s="2" customFormat="1" ht="30" customHeight="1" x14ac:dyDescent="0.45">
      <c r="A50" s="9" t="s">
        <v>29</v>
      </c>
      <c r="B50" s="15">
        <f>B49</f>
        <v>10225</v>
      </c>
      <c r="C50" s="15">
        <f t="shared" ref="C50:N50" si="31">C49</f>
        <v>10225</v>
      </c>
      <c r="D50" s="15">
        <f t="shared" si="31"/>
        <v>11091.3</v>
      </c>
      <c r="E50" s="15">
        <f t="shared" si="31"/>
        <v>12792.7</v>
      </c>
      <c r="F50" s="15">
        <f t="shared" si="31"/>
        <v>12017.7</v>
      </c>
      <c r="G50" s="15">
        <f t="shared" si="31"/>
        <v>12278.7</v>
      </c>
      <c r="H50" s="15">
        <f t="shared" si="31"/>
        <v>12508.4</v>
      </c>
      <c r="I50" s="15">
        <f t="shared" si="31"/>
        <v>14298.3</v>
      </c>
      <c r="J50" s="15">
        <f t="shared" si="31"/>
        <v>13392.6</v>
      </c>
      <c r="K50" s="15">
        <f t="shared" si="31"/>
        <v>10368.700000000001</v>
      </c>
      <c r="L50" s="15">
        <f t="shared" si="31"/>
        <v>11527.3</v>
      </c>
      <c r="M50" s="15">
        <f t="shared" si="31"/>
        <v>9743.1</v>
      </c>
      <c r="N50" s="15">
        <f t="shared" si="31"/>
        <v>10290.799999999999</v>
      </c>
      <c r="O50" s="15">
        <f t="shared" ref="O50:O52" si="32">SUM(B50:N50)</f>
        <v>150759.59999999998</v>
      </c>
      <c r="P50" s="9" t="s">
        <v>29</v>
      </c>
    </row>
    <row r="51" spans="1:16" s="2" customFormat="1" ht="30" customHeight="1" x14ac:dyDescent="0.45">
      <c r="A51" s="10" t="s">
        <v>24</v>
      </c>
      <c r="B51" s="15">
        <f>B50*0.4</f>
        <v>4090</v>
      </c>
      <c r="C51" s="15">
        <f t="shared" ref="C51:N51" si="33">C50*0.4</f>
        <v>4090</v>
      </c>
      <c r="D51" s="15">
        <f t="shared" si="33"/>
        <v>4436.5199999999995</v>
      </c>
      <c r="E51" s="15">
        <f t="shared" si="33"/>
        <v>5117.0800000000008</v>
      </c>
      <c r="F51" s="15">
        <f t="shared" si="33"/>
        <v>4807.0800000000008</v>
      </c>
      <c r="G51" s="15">
        <f t="shared" si="33"/>
        <v>4911.4800000000005</v>
      </c>
      <c r="H51" s="15">
        <f t="shared" si="33"/>
        <v>5003.3600000000006</v>
      </c>
      <c r="I51" s="15">
        <f t="shared" si="33"/>
        <v>5719.32</v>
      </c>
      <c r="J51" s="15">
        <f t="shared" si="33"/>
        <v>5357.0400000000009</v>
      </c>
      <c r="K51" s="15">
        <f t="shared" si="33"/>
        <v>4147.4800000000005</v>
      </c>
      <c r="L51" s="15">
        <f t="shared" si="33"/>
        <v>4610.92</v>
      </c>
      <c r="M51" s="15">
        <f t="shared" si="33"/>
        <v>3897.2400000000002</v>
      </c>
      <c r="N51" s="15">
        <f t="shared" si="33"/>
        <v>4116.32</v>
      </c>
      <c r="O51" s="15">
        <f t="shared" si="32"/>
        <v>60303.840000000004</v>
      </c>
      <c r="P51" s="10" t="s">
        <v>47</v>
      </c>
    </row>
    <row r="52" spans="1:16" s="2" customFormat="1" ht="30" customHeight="1" thickBot="1" x14ac:dyDescent="0.5">
      <c r="A52" s="10" t="s">
        <v>65</v>
      </c>
      <c r="B52" s="15">
        <f>B50*0.36</f>
        <v>3681</v>
      </c>
      <c r="C52" s="15">
        <f t="shared" ref="C52:N52" si="34">C50*0.36</f>
        <v>3681</v>
      </c>
      <c r="D52" s="15">
        <f t="shared" si="34"/>
        <v>3992.8679999999995</v>
      </c>
      <c r="E52" s="15">
        <f t="shared" si="34"/>
        <v>4605.3720000000003</v>
      </c>
      <c r="F52" s="15">
        <f t="shared" si="34"/>
        <v>4326.3720000000003</v>
      </c>
      <c r="G52" s="15">
        <f t="shared" si="34"/>
        <v>4420.3320000000003</v>
      </c>
      <c r="H52" s="15">
        <f t="shared" si="34"/>
        <v>4503.0239999999994</v>
      </c>
      <c r="I52" s="15">
        <f t="shared" si="34"/>
        <v>5147.3879999999999</v>
      </c>
      <c r="J52" s="15">
        <f t="shared" si="34"/>
        <v>4821.3360000000002</v>
      </c>
      <c r="K52" s="15">
        <f t="shared" si="34"/>
        <v>3732.732</v>
      </c>
      <c r="L52" s="15">
        <f t="shared" si="34"/>
        <v>4149.8279999999995</v>
      </c>
      <c r="M52" s="15">
        <f t="shared" si="34"/>
        <v>3507.5160000000001</v>
      </c>
      <c r="N52" s="15">
        <f t="shared" si="34"/>
        <v>3704.6879999999996</v>
      </c>
      <c r="O52" s="15">
        <f t="shared" si="32"/>
        <v>54273.456000000006</v>
      </c>
      <c r="P52" s="10" t="s">
        <v>65</v>
      </c>
    </row>
    <row r="53" spans="1:16" s="2" customFormat="1" ht="30" customHeight="1" thickBot="1" x14ac:dyDescent="0.5">
      <c r="A53" s="18" t="s">
        <v>48</v>
      </c>
      <c r="B53" s="60">
        <f>B50-B51-B52</f>
        <v>2454</v>
      </c>
      <c r="C53" s="61">
        <f t="shared" ref="C53:N53" si="35">C50-C51-C52</f>
        <v>2454</v>
      </c>
      <c r="D53" s="61">
        <f t="shared" si="35"/>
        <v>2661.9120000000003</v>
      </c>
      <c r="E53" s="61">
        <f t="shared" si="35"/>
        <v>3070.2479999999996</v>
      </c>
      <c r="F53" s="61">
        <f t="shared" si="35"/>
        <v>2884.2479999999996</v>
      </c>
      <c r="G53" s="61">
        <f t="shared" si="35"/>
        <v>2946.8879999999999</v>
      </c>
      <c r="H53" s="61">
        <f t="shared" si="35"/>
        <v>3002.0159999999996</v>
      </c>
      <c r="I53" s="61">
        <f t="shared" si="35"/>
        <v>3431.5919999999996</v>
      </c>
      <c r="J53" s="61">
        <f t="shared" si="35"/>
        <v>3214.2239999999993</v>
      </c>
      <c r="K53" s="61">
        <f t="shared" si="35"/>
        <v>2488.4880000000003</v>
      </c>
      <c r="L53" s="61">
        <f t="shared" si="35"/>
        <v>2766.5519999999997</v>
      </c>
      <c r="M53" s="61">
        <f t="shared" si="35"/>
        <v>2338.3440000000005</v>
      </c>
      <c r="N53" s="62">
        <f t="shared" si="35"/>
        <v>2469.7919999999999</v>
      </c>
      <c r="O53" s="64">
        <f>O50-O51-O52</f>
        <v>36182.303999999975</v>
      </c>
      <c r="P53" s="18" t="s">
        <v>48</v>
      </c>
    </row>
    <row r="54" spans="1:16" s="22" customFormat="1" ht="30" customHeight="1" x14ac:dyDescent="0.45">
      <c r="A54" s="23" t="s">
        <v>42</v>
      </c>
      <c r="B54" s="20">
        <v>16840.3</v>
      </c>
      <c r="C54" s="20">
        <v>18464</v>
      </c>
      <c r="D54" s="20">
        <v>16667.2</v>
      </c>
      <c r="E54" s="20">
        <v>17589.7</v>
      </c>
      <c r="F54" s="20">
        <v>21739</v>
      </c>
      <c r="G54" s="20">
        <v>24847.3</v>
      </c>
      <c r="H54" s="21">
        <v>25141.5</v>
      </c>
      <c r="I54" s="20">
        <v>25190</v>
      </c>
      <c r="J54" s="20">
        <v>23867</v>
      </c>
      <c r="K54" s="20">
        <v>22114.3</v>
      </c>
      <c r="L54" s="20">
        <v>22082.799999999999</v>
      </c>
      <c r="M54" s="20">
        <v>18820.599999999999</v>
      </c>
      <c r="N54" s="20">
        <v>17232.599999999999</v>
      </c>
      <c r="O54" s="20">
        <f>SUM(B54:N54)</f>
        <v>270596.3</v>
      </c>
      <c r="P54" s="23" t="s">
        <v>42</v>
      </c>
    </row>
    <row r="55" spans="1:16" ht="32.5" customHeight="1" x14ac:dyDescent="0.45">
      <c r="A55" s="9" t="s">
        <v>43</v>
      </c>
      <c r="B55" s="65">
        <f>B54</f>
        <v>16840.3</v>
      </c>
      <c r="C55" s="65">
        <f t="shared" ref="C55:N55" si="36">C54</f>
        <v>18464</v>
      </c>
      <c r="D55" s="65">
        <f t="shared" si="36"/>
        <v>16667.2</v>
      </c>
      <c r="E55" s="65">
        <f t="shared" si="36"/>
        <v>17589.7</v>
      </c>
      <c r="F55" s="65">
        <f t="shared" si="36"/>
        <v>21739</v>
      </c>
      <c r="G55" s="65">
        <f t="shared" si="36"/>
        <v>24847.3</v>
      </c>
      <c r="H55" s="65">
        <f t="shared" si="36"/>
        <v>25141.5</v>
      </c>
      <c r="I55" s="65">
        <f t="shared" si="36"/>
        <v>25190</v>
      </c>
      <c r="J55" s="65">
        <f t="shared" si="36"/>
        <v>23867</v>
      </c>
      <c r="K55" s="65">
        <f t="shared" si="36"/>
        <v>22114.3</v>
      </c>
      <c r="L55" s="65">
        <f t="shared" si="36"/>
        <v>22082.799999999999</v>
      </c>
      <c r="M55" s="65">
        <f t="shared" si="36"/>
        <v>18820.599999999999</v>
      </c>
      <c r="N55" s="65">
        <f t="shared" si="36"/>
        <v>17232.599999999999</v>
      </c>
      <c r="O55" s="15">
        <f t="shared" ref="O55:O57" si="37">SUM(B55:N55)</f>
        <v>270596.3</v>
      </c>
      <c r="P55" s="9" t="s">
        <v>43</v>
      </c>
    </row>
    <row r="56" spans="1:16" ht="32.5" customHeight="1" x14ac:dyDescent="0.45">
      <c r="A56" s="10" t="s">
        <v>47</v>
      </c>
      <c r="B56" s="15">
        <f>B55*0.41</f>
        <v>6904.5229999999992</v>
      </c>
      <c r="C56" s="15">
        <f t="shared" ref="C56:N56" si="38">C55*0.41</f>
        <v>7570.24</v>
      </c>
      <c r="D56" s="15">
        <f t="shared" si="38"/>
        <v>6833.5519999999997</v>
      </c>
      <c r="E56" s="15">
        <f t="shared" si="38"/>
        <v>7211.777</v>
      </c>
      <c r="F56" s="15">
        <f t="shared" si="38"/>
        <v>8912.99</v>
      </c>
      <c r="G56" s="15">
        <f t="shared" si="38"/>
        <v>10187.392999999998</v>
      </c>
      <c r="H56" s="15">
        <f t="shared" si="38"/>
        <v>10308.014999999999</v>
      </c>
      <c r="I56" s="15">
        <f t="shared" si="38"/>
        <v>10327.9</v>
      </c>
      <c r="J56" s="15">
        <f t="shared" si="38"/>
        <v>9785.4699999999993</v>
      </c>
      <c r="K56" s="15">
        <f t="shared" si="38"/>
        <v>9066.8629999999994</v>
      </c>
      <c r="L56" s="15">
        <f t="shared" si="38"/>
        <v>9053.9479999999985</v>
      </c>
      <c r="M56" s="15">
        <f t="shared" si="38"/>
        <v>7716.445999999999</v>
      </c>
      <c r="N56" s="15">
        <f t="shared" si="38"/>
        <v>7065.3659999999991</v>
      </c>
      <c r="O56" s="15">
        <f t="shared" si="37"/>
        <v>110944.48299999998</v>
      </c>
      <c r="P56" s="10" t="s">
        <v>47</v>
      </c>
    </row>
    <row r="57" spans="1:16" ht="32.5" customHeight="1" thickBot="1" x14ac:dyDescent="0.5">
      <c r="A57" s="10" t="s">
        <v>65</v>
      </c>
      <c r="B57" s="15">
        <f>B55*0.36</f>
        <v>6062.5079999999998</v>
      </c>
      <c r="C57" s="15">
        <f t="shared" ref="C57:N57" si="39">C55*0.36</f>
        <v>6647.04</v>
      </c>
      <c r="D57" s="15">
        <f t="shared" si="39"/>
        <v>6000.192</v>
      </c>
      <c r="E57" s="15">
        <f t="shared" si="39"/>
        <v>6332.2920000000004</v>
      </c>
      <c r="F57" s="15">
        <f t="shared" si="39"/>
        <v>7826.04</v>
      </c>
      <c r="G57" s="15">
        <f t="shared" si="39"/>
        <v>8945.0280000000002</v>
      </c>
      <c r="H57" s="15">
        <f t="shared" si="39"/>
        <v>9050.94</v>
      </c>
      <c r="I57" s="15">
        <f t="shared" si="39"/>
        <v>9068.4</v>
      </c>
      <c r="J57" s="15">
        <f t="shared" si="39"/>
        <v>8592.119999999999</v>
      </c>
      <c r="K57" s="15">
        <f t="shared" si="39"/>
        <v>7961.1479999999992</v>
      </c>
      <c r="L57" s="15">
        <f t="shared" si="39"/>
        <v>7949.8079999999991</v>
      </c>
      <c r="M57" s="15">
        <f t="shared" si="39"/>
        <v>6775.4159999999993</v>
      </c>
      <c r="N57" s="15">
        <f t="shared" si="39"/>
        <v>6203.735999999999</v>
      </c>
      <c r="O57" s="15">
        <f t="shared" si="37"/>
        <v>97414.668000000005</v>
      </c>
      <c r="P57" s="10" t="s">
        <v>65</v>
      </c>
    </row>
    <row r="58" spans="1:16" s="2" customFormat="1" ht="30" customHeight="1" thickBot="1" x14ac:dyDescent="0.5">
      <c r="A58" s="18" t="s">
        <v>48</v>
      </c>
      <c r="B58" s="60">
        <f>B55-B56-B57</f>
        <v>3873.2690000000002</v>
      </c>
      <c r="C58" s="61">
        <f t="shared" ref="C58:N58" si="40">C55-C56-C57</f>
        <v>4246.72</v>
      </c>
      <c r="D58" s="61">
        <f t="shared" si="40"/>
        <v>3833.456000000001</v>
      </c>
      <c r="E58" s="61">
        <f t="shared" si="40"/>
        <v>4045.6310000000003</v>
      </c>
      <c r="F58" s="61">
        <f t="shared" si="40"/>
        <v>4999.97</v>
      </c>
      <c r="G58" s="61">
        <f t="shared" si="40"/>
        <v>5714.8790000000008</v>
      </c>
      <c r="H58" s="61">
        <f t="shared" si="40"/>
        <v>5782.5450000000001</v>
      </c>
      <c r="I58" s="61">
        <f t="shared" si="40"/>
        <v>5793.7000000000007</v>
      </c>
      <c r="J58" s="61">
        <f t="shared" si="40"/>
        <v>5489.4100000000017</v>
      </c>
      <c r="K58" s="61">
        <f t="shared" si="40"/>
        <v>5086.2890000000007</v>
      </c>
      <c r="L58" s="61">
        <f t="shared" si="40"/>
        <v>5079.0440000000017</v>
      </c>
      <c r="M58" s="61">
        <f t="shared" si="40"/>
        <v>4328.7379999999994</v>
      </c>
      <c r="N58" s="62">
        <f t="shared" si="40"/>
        <v>3963.4980000000014</v>
      </c>
      <c r="O58" s="64">
        <f>O55-O56-O57</f>
        <v>62237.149000000005</v>
      </c>
      <c r="P58" s="18" t="s">
        <v>48</v>
      </c>
    </row>
    <row r="59" spans="1:16" s="2" customFormat="1" ht="30" customHeight="1" thickBot="1" x14ac:dyDescent="0.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63"/>
      <c r="O59" s="16"/>
    </row>
    <row r="60" spans="1:16" s="2" customFormat="1" ht="30" customHeight="1" thickBot="1" x14ac:dyDescent="0.5">
      <c r="A60" s="71" t="s">
        <v>5</v>
      </c>
      <c r="B60" s="3" t="s">
        <v>8</v>
      </c>
      <c r="C60" s="3" t="s">
        <v>9</v>
      </c>
      <c r="D60" s="3" t="s">
        <v>10</v>
      </c>
      <c r="E60" s="4" t="s">
        <v>11</v>
      </c>
      <c r="F60" s="3" t="s">
        <v>12</v>
      </c>
      <c r="G60" s="5" t="s">
        <v>13</v>
      </c>
      <c r="H60" s="6" t="s">
        <v>14</v>
      </c>
      <c r="I60" s="7" t="s">
        <v>15</v>
      </c>
      <c r="J60" s="8" t="s">
        <v>16</v>
      </c>
      <c r="K60" s="8" t="s">
        <v>17</v>
      </c>
      <c r="L60" s="8" t="s">
        <v>18</v>
      </c>
      <c r="M60" s="8" t="s">
        <v>19</v>
      </c>
      <c r="N60" s="8" t="s">
        <v>20</v>
      </c>
      <c r="O60" s="3" t="s">
        <v>21</v>
      </c>
      <c r="P60" s="18" t="s">
        <v>5</v>
      </c>
    </row>
    <row r="61" spans="1:16" s="22" customFormat="1" ht="30" customHeight="1" x14ac:dyDescent="0.45">
      <c r="A61" s="23" t="s">
        <v>44</v>
      </c>
      <c r="B61" s="20">
        <v>67341.009999999995</v>
      </c>
      <c r="C61" s="20">
        <v>65425.45</v>
      </c>
      <c r="D61" s="20">
        <v>72584.960000000006</v>
      </c>
      <c r="E61" s="20">
        <v>81589.009999999995</v>
      </c>
      <c r="F61" s="20">
        <v>86150.07</v>
      </c>
      <c r="G61" s="20">
        <v>99889.61</v>
      </c>
      <c r="H61" s="21">
        <v>112100.5</v>
      </c>
      <c r="I61" s="20">
        <v>120334.78</v>
      </c>
      <c r="J61" s="20">
        <v>127273.96</v>
      </c>
      <c r="K61" s="20">
        <v>97956.99</v>
      </c>
      <c r="L61" s="20">
        <v>105741.99</v>
      </c>
      <c r="M61" s="20">
        <v>106523.2</v>
      </c>
      <c r="N61" s="20">
        <v>34906.800000000003</v>
      </c>
      <c r="O61" s="20">
        <f>SUM(B61:N61)</f>
        <v>1177818.33</v>
      </c>
      <c r="P61" s="23" t="s">
        <v>44</v>
      </c>
    </row>
    <row r="62" spans="1:16" s="2" customFormat="1" ht="30" customHeight="1" x14ac:dyDescent="0.45">
      <c r="A62" s="9" t="s">
        <v>45</v>
      </c>
      <c r="B62" s="15">
        <f>B61*1.02</f>
        <v>68687.830199999997</v>
      </c>
      <c r="C62" s="15">
        <f t="shared" ref="C62:N62" si="41">C61*1.02</f>
        <v>66733.959000000003</v>
      </c>
      <c r="D62" s="15">
        <f t="shared" si="41"/>
        <v>74036.659200000009</v>
      </c>
      <c r="E62" s="15">
        <f t="shared" si="41"/>
        <v>83220.790200000003</v>
      </c>
      <c r="F62" s="15">
        <f t="shared" si="41"/>
        <v>87873.071400000015</v>
      </c>
      <c r="G62" s="15">
        <f t="shared" si="41"/>
        <v>101887.4022</v>
      </c>
      <c r="H62" s="15">
        <f t="shared" si="41"/>
        <v>114342.51</v>
      </c>
      <c r="I62" s="15">
        <f t="shared" si="41"/>
        <v>122741.47560000001</v>
      </c>
      <c r="J62" s="15">
        <f t="shared" si="41"/>
        <v>129819.43920000001</v>
      </c>
      <c r="K62" s="15">
        <f t="shared" si="41"/>
        <v>99916.12980000001</v>
      </c>
      <c r="L62" s="15">
        <f t="shared" si="41"/>
        <v>107856.82980000001</v>
      </c>
      <c r="M62" s="15">
        <f t="shared" si="41"/>
        <v>108653.664</v>
      </c>
      <c r="N62" s="15">
        <f t="shared" si="41"/>
        <v>35604.936000000002</v>
      </c>
      <c r="O62" s="15">
        <f t="shared" ref="O62:O64" si="42">SUM(B62:N62)</f>
        <v>1201374.6966000001</v>
      </c>
      <c r="P62" s="9" t="s">
        <v>45</v>
      </c>
    </row>
    <row r="63" spans="1:16" s="2" customFormat="1" ht="30" customHeight="1" x14ac:dyDescent="0.45">
      <c r="A63" s="10" t="s">
        <v>64</v>
      </c>
      <c r="B63" s="15">
        <f>B62*0.36</f>
        <v>24727.618871999999</v>
      </c>
      <c r="C63" s="15">
        <f t="shared" ref="C63:N63" si="43">C62*0.36</f>
        <v>24024.22524</v>
      </c>
      <c r="D63" s="15">
        <f t="shared" si="43"/>
        <v>26653.197312000004</v>
      </c>
      <c r="E63" s="15">
        <f t="shared" si="43"/>
        <v>29959.484472</v>
      </c>
      <c r="F63" s="15">
        <f t="shared" si="43"/>
        <v>31634.305704000006</v>
      </c>
      <c r="G63" s="15">
        <f t="shared" si="43"/>
        <v>36679.464791999999</v>
      </c>
      <c r="H63" s="15">
        <f t="shared" si="43"/>
        <v>41163.303599999999</v>
      </c>
      <c r="I63" s="15">
        <f t="shared" si="43"/>
        <v>44186.931215999997</v>
      </c>
      <c r="J63" s="15">
        <f t="shared" si="43"/>
        <v>46734.998112000001</v>
      </c>
      <c r="K63" s="15">
        <f t="shared" si="43"/>
        <v>35969.806728000003</v>
      </c>
      <c r="L63" s="15">
        <f t="shared" si="43"/>
        <v>38828.458727999998</v>
      </c>
      <c r="M63" s="15">
        <f t="shared" si="43"/>
        <v>39115.319040000002</v>
      </c>
      <c r="N63" s="15">
        <f t="shared" si="43"/>
        <v>12817.776959999999</v>
      </c>
      <c r="O63" s="15">
        <f t="shared" si="42"/>
        <v>432494.89077599993</v>
      </c>
      <c r="P63" s="10" t="s">
        <v>64</v>
      </c>
    </row>
    <row r="64" spans="1:16" s="2" customFormat="1" ht="30" customHeight="1" thickBot="1" x14ac:dyDescent="0.5">
      <c r="A64" s="10" t="s">
        <v>63</v>
      </c>
      <c r="B64" s="15">
        <f>B62*0.295</f>
        <v>20262.909908999998</v>
      </c>
      <c r="C64" s="15">
        <f t="shared" ref="C64:N64" si="44">C62*0.295</f>
        <v>19686.517905000001</v>
      </c>
      <c r="D64" s="15">
        <f t="shared" si="44"/>
        <v>21840.814464000003</v>
      </c>
      <c r="E64" s="15">
        <f t="shared" si="44"/>
        <v>24550.133108999999</v>
      </c>
      <c r="F64" s="15">
        <f t="shared" si="44"/>
        <v>25922.556063000004</v>
      </c>
      <c r="G64" s="15">
        <f t="shared" si="44"/>
        <v>30056.783648999997</v>
      </c>
      <c r="H64" s="15">
        <f t="shared" si="44"/>
        <v>33731.040449999993</v>
      </c>
      <c r="I64" s="15">
        <f t="shared" si="44"/>
        <v>36208.735302000001</v>
      </c>
      <c r="J64" s="15">
        <f t="shared" si="44"/>
        <v>38296.734563999998</v>
      </c>
      <c r="K64" s="15">
        <f t="shared" si="44"/>
        <v>29475.258291000002</v>
      </c>
      <c r="L64" s="15">
        <f t="shared" si="44"/>
        <v>31817.764791000001</v>
      </c>
      <c r="M64" s="15">
        <f t="shared" si="44"/>
        <v>32052.830880000001</v>
      </c>
      <c r="N64" s="15">
        <f t="shared" si="44"/>
        <v>10503.456120000001</v>
      </c>
      <c r="O64" s="15">
        <f t="shared" si="42"/>
        <v>354405.53549699998</v>
      </c>
      <c r="P64" s="10" t="s">
        <v>63</v>
      </c>
    </row>
    <row r="65" spans="1:16" s="2" customFormat="1" ht="30" customHeight="1" thickBot="1" x14ac:dyDescent="0.5">
      <c r="A65" s="18" t="s">
        <v>48</v>
      </c>
      <c r="B65" s="60">
        <f>B62-B63-B64</f>
        <v>23697.301418999999</v>
      </c>
      <c r="C65" s="61">
        <f t="shared" ref="C65:N65" si="45">C62-C63-C64</f>
        <v>23023.215855000002</v>
      </c>
      <c r="D65" s="61">
        <f t="shared" si="45"/>
        <v>25542.647424000003</v>
      </c>
      <c r="E65" s="61">
        <f t="shared" si="45"/>
        <v>28711.172619000008</v>
      </c>
      <c r="F65" s="61">
        <f t="shared" si="45"/>
        <v>30316.209633000006</v>
      </c>
      <c r="G65" s="61">
        <f t="shared" si="45"/>
        <v>35151.153759000001</v>
      </c>
      <c r="H65" s="61">
        <f t="shared" si="45"/>
        <v>39448.165950000002</v>
      </c>
      <c r="I65" s="61">
        <f t="shared" si="45"/>
        <v>42345.809082000007</v>
      </c>
      <c r="J65" s="61">
        <f t="shared" si="45"/>
        <v>44787.706524000008</v>
      </c>
      <c r="K65" s="61">
        <f t="shared" si="45"/>
        <v>34471.064781000008</v>
      </c>
      <c r="L65" s="61">
        <f t="shared" si="45"/>
        <v>37210.606281000008</v>
      </c>
      <c r="M65" s="61">
        <f t="shared" si="45"/>
        <v>37485.514080000001</v>
      </c>
      <c r="N65" s="62">
        <f t="shared" si="45"/>
        <v>12283.702920000002</v>
      </c>
      <c r="O65" s="64">
        <f>O62-O63-O64</f>
        <v>414474.27032700018</v>
      </c>
      <c r="P65" s="18" t="s">
        <v>48</v>
      </c>
    </row>
    <row r="66" spans="1:16" ht="25.5" customHeight="1" thickBot="1" x14ac:dyDescent="0.5">
      <c r="I66" s="72"/>
    </row>
    <row r="67" spans="1:16" s="2" customFormat="1" ht="30" customHeight="1" thickBot="1" x14ac:dyDescent="0.5">
      <c r="A67" s="71" t="s">
        <v>46</v>
      </c>
      <c r="B67" s="24" t="s">
        <v>8</v>
      </c>
      <c r="C67" s="3" t="s">
        <v>9</v>
      </c>
      <c r="D67" s="3" t="s">
        <v>10</v>
      </c>
      <c r="E67" s="4" t="s">
        <v>11</v>
      </c>
      <c r="F67" s="3" t="s">
        <v>12</v>
      </c>
      <c r="G67" s="5" t="s">
        <v>13</v>
      </c>
      <c r="H67" s="6" t="s">
        <v>14</v>
      </c>
      <c r="I67" s="7" t="s">
        <v>15</v>
      </c>
      <c r="J67" s="8" t="s">
        <v>16</v>
      </c>
      <c r="K67" s="8" t="s">
        <v>17</v>
      </c>
      <c r="L67" s="8" t="s">
        <v>18</v>
      </c>
      <c r="M67" s="8" t="s">
        <v>19</v>
      </c>
      <c r="N67" s="8" t="s">
        <v>20</v>
      </c>
      <c r="O67" s="3" t="s">
        <v>21</v>
      </c>
      <c r="P67" s="18" t="s">
        <v>46</v>
      </c>
    </row>
    <row r="68" spans="1:16" s="22" customFormat="1" ht="30" customHeight="1" x14ac:dyDescent="0.45">
      <c r="A68" s="27" t="s">
        <v>42</v>
      </c>
      <c r="B68" s="25">
        <v>35000</v>
      </c>
      <c r="C68" s="20">
        <v>38000</v>
      </c>
      <c r="D68" s="20">
        <v>39000</v>
      </c>
      <c r="E68" s="20">
        <v>41000</v>
      </c>
      <c r="F68" s="20">
        <v>42000</v>
      </c>
      <c r="G68" s="20">
        <v>42000</v>
      </c>
      <c r="H68" s="21">
        <v>42655.3</v>
      </c>
      <c r="I68" s="20">
        <v>44871.7</v>
      </c>
      <c r="J68" s="20">
        <v>46426.1</v>
      </c>
      <c r="K68" s="20">
        <v>45381.7</v>
      </c>
      <c r="L68" s="20">
        <v>47302.2</v>
      </c>
      <c r="M68" s="20">
        <v>45354</v>
      </c>
      <c r="N68" s="20">
        <v>43327.8</v>
      </c>
      <c r="O68" s="20">
        <f>SUM(B68:N68)</f>
        <v>552318.80000000005</v>
      </c>
      <c r="P68" s="27" t="s">
        <v>42</v>
      </c>
    </row>
    <row r="69" spans="1:16" s="2" customFormat="1" ht="30" customHeight="1" x14ac:dyDescent="0.45">
      <c r="A69" s="28" t="s">
        <v>42</v>
      </c>
      <c r="B69" s="26">
        <f t="shared" ref="B69:N69" si="46">B68*1.01</f>
        <v>35350</v>
      </c>
      <c r="C69" s="15">
        <f t="shared" si="46"/>
        <v>38380</v>
      </c>
      <c r="D69" s="15">
        <f t="shared" si="46"/>
        <v>39390</v>
      </c>
      <c r="E69" s="15">
        <f t="shared" si="46"/>
        <v>41410</v>
      </c>
      <c r="F69" s="15">
        <f t="shared" si="46"/>
        <v>42420</v>
      </c>
      <c r="G69" s="15">
        <f t="shared" si="46"/>
        <v>42420</v>
      </c>
      <c r="H69" s="15">
        <f t="shared" si="46"/>
        <v>43081.853000000003</v>
      </c>
      <c r="I69" s="15">
        <f t="shared" si="46"/>
        <v>45320.416999999994</v>
      </c>
      <c r="J69" s="15">
        <f t="shared" si="46"/>
        <v>46890.360999999997</v>
      </c>
      <c r="K69" s="15">
        <f t="shared" si="46"/>
        <v>45835.517</v>
      </c>
      <c r="L69" s="15">
        <f t="shared" si="46"/>
        <v>47775.221999999994</v>
      </c>
      <c r="M69" s="15">
        <f t="shared" si="46"/>
        <v>45807.54</v>
      </c>
      <c r="N69" s="15">
        <f t="shared" si="46"/>
        <v>43761.078000000001</v>
      </c>
      <c r="O69" s="15">
        <f t="shared" ref="O69:O71" si="47">SUM(B69:N69)</f>
        <v>557841.98800000001</v>
      </c>
      <c r="P69" s="28" t="s">
        <v>42</v>
      </c>
    </row>
    <row r="70" spans="1:16" s="2" customFormat="1" ht="30" customHeight="1" x14ac:dyDescent="0.45">
      <c r="A70" s="29" t="s">
        <v>47</v>
      </c>
      <c r="B70" s="26">
        <f>B69*0.41</f>
        <v>14493.5</v>
      </c>
      <c r="C70" s="26">
        <f t="shared" ref="C70:N70" si="48">C69*0.41</f>
        <v>15735.8</v>
      </c>
      <c r="D70" s="26">
        <f t="shared" si="48"/>
        <v>16149.9</v>
      </c>
      <c r="E70" s="26">
        <f t="shared" si="48"/>
        <v>16978.099999999999</v>
      </c>
      <c r="F70" s="26">
        <f t="shared" si="48"/>
        <v>17392.2</v>
      </c>
      <c r="G70" s="26">
        <f t="shared" si="48"/>
        <v>17392.2</v>
      </c>
      <c r="H70" s="26">
        <f t="shared" si="48"/>
        <v>17663.559730000001</v>
      </c>
      <c r="I70" s="26">
        <f t="shared" si="48"/>
        <v>18581.370969999996</v>
      </c>
      <c r="J70" s="26">
        <f t="shared" si="48"/>
        <v>19225.048009999999</v>
      </c>
      <c r="K70" s="26">
        <f t="shared" si="48"/>
        <v>18792.561969999999</v>
      </c>
      <c r="L70" s="26">
        <f t="shared" si="48"/>
        <v>19587.841019999996</v>
      </c>
      <c r="M70" s="26">
        <f t="shared" si="48"/>
        <v>18781.091399999998</v>
      </c>
      <c r="N70" s="26">
        <f t="shared" si="48"/>
        <v>17942.041979999998</v>
      </c>
      <c r="O70" s="15">
        <f t="shared" si="47"/>
        <v>228715.21507999999</v>
      </c>
      <c r="P70" s="29" t="s">
        <v>47</v>
      </c>
    </row>
    <row r="71" spans="1:16" s="2" customFormat="1" ht="30" customHeight="1" thickBot="1" x14ac:dyDescent="0.5">
      <c r="A71" s="30" t="s">
        <v>66</v>
      </c>
      <c r="B71" s="26">
        <f>B69*0.31</f>
        <v>10958.5</v>
      </c>
      <c r="C71" s="15">
        <f>C69*0.34</f>
        <v>13049.2</v>
      </c>
      <c r="D71" s="15">
        <f>D69*0.33</f>
        <v>12998.7</v>
      </c>
      <c r="E71" s="15">
        <f>E69*0.33</f>
        <v>13665.300000000001</v>
      </c>
      <c r="F71" s="15">
        <f t="shared" ref="F71:N71" si="49">F69*0.31</f>
        <v>13150.2</v>
      </c>
      <c r="G71" s="15">
        <f t="shared" si="49"/>
        <v>13150.2</v>
      </c>
      <c r="H71" s="15">
        <f t="shared" si="49"/>
        <v>13355.374430000002</v>
      </c>
      <c r="I71" s="15">
        <f>I69*0.3</f>
        <v>13596.125099999997</v>
      </c>
      <c r="J71" s="15">
        <f>J69*0.3</f>
        <v>14067.108299999998</v>
      </c>
      <c r="K71" s="15">
        <f>K69*0.3</f>
        <v>13750.6551</v>
      </c>
      <c r="L71" s="15">
        <f>L69*0.3</f>
        <v>14332.566599999998</v>
      </c>
      <c r="M71" s="15">
        <f>M69*0.3</f>
        <v>13742.262000000001</v>
      </c>
      <c r="N71" s="15">
        <f t="shared" si="49"/>
        <v>13565.93418</v>
      </c>
      <c r="O71" s="15">
        <f t="shared" si="47"/>
        <v>173382.12570999999</v>
      </c>
      <c r="P71" s="30" t="s">
        <v>66</v>
      </c>
    </row>
    <row r="72" spans="1:16" s="2" customFormat="1" ht="30" customHeight="1" thickBot="1" x14ac:dyDescent="0.5">
      <c r="A72" s="18" t="s">
        <v>48</v>
      </c>
      <c r="B72" s="60">
        <f>B69-B70-B71</f>
        <v>9898</v>
      </c>
      <c r="C72" s="61">
        <f t="shared" ref="C72:N72" si="50">C69-C70-C71</f>
        <v>9595</v>
      </c>
      <c r="D72" s="61">
        <f t="shared" si="50"/>
        <v>10241.399999999998</v>
      </c>
      <c r="E72" s="61">
        <f t="shared" si="50"/>
        <v>10766.6</v>
      </c>
      <c r="F72" s="61">
        <f t="shared" si="50"/>
        <v>11877.599999999999</v>
      </c>
      <c r="G72" s="61">
        <f t="shared" si="50"/>
        <v>11877.599999999999</v>
      </c>
      <c r="H72" s="61">
        <f t="shared" si="50"/>
        <v>12062.91884</v>
      </c>
      <c r="I72" s="61">
        <f t="shared" si="50"/>
        <v>13142.92093</v>
      </c>
      <c r="J72" s="61">
        <f t="shared" si="50"/>
        <v>13598.20469</v>
      </c>
      <c r="K72" s="61">
        <f t="shared" si="50"/>
        <v>13292.299930000001</v>
      </c>
      <c r="L72" s="61">
        <f t="shared" si="50"/>
        <v>13854.81438</v>
      </c>
      <c r="M72" s="61">
        <f t="shared" si="50"/>
        <v>13284.186600000003</v>
      </c>
      <c r="N72" s="62">
        <f t="shared" si="50"/>
        <v>12253.101840000003</v>
      </c>
      <c r="O72" s="64">
        <f>O69-O70-O71</f>
        <v>155744.64721000002</v>
      </c>
      <c r="P72" s="18" t="s">
        <v>48</v>
      </c>
    </row>
    <row r="73" spans="1:16" s="2" customFormat="1" ht="30" customHeight="1" thickBot="1" x14ac:dyDescent="0.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63"/>
      <c r="O73" s="16"/>
    </row>
    <row r="74" spans="1:16" s="2" customFormat="1" ht="30" customHeight="1" x14ac:dyDescent="0.45">
      <c r="A74" s="69" t="s">
        <v>56</v>
      </c>
      <c r="B74" s="3" t="s">
        <v>8</v>
      </c>
      <c r="C74" s="3" t="s">
        <v>9</v>
      </c>
      <c r="D74" s="3" t="s">
        <v>10</v>
      </c>
      <c r="E74" s="4" t="s">
        <v>11</v>
      </c>
      <c r="F74" s="3" t="s">
        <v>12</v>
      </c>
      <c r="G74" s="5" t="s">
        <v>13</v>
      </c>
      <c r="H74" s="6" t="s">
        <v>14</v>
      </c>
      <c r="I74" s="7" t="s">
        <v>15</v>
      </c>
      <c r="J74" s="8" t="s">
        <v>16</v>
      </c>
      <c r="K74" s="8" t="s">
        <v>17</v>
      </c>
      <c r="L74" s="8" t="s">
        <v>18</v>
      </c>
      <c r="M74" s="8" t="s">
        <v>19</v>
      </c>
      <c r="N74" s="8" t="s">
        <v>20</v>
      </c>
      <c r="O74" s="3" t="s">
        <v>21</v>
      </c>
      <c r="P74" s="19" t="s">
        <v>56</v>
      </c>
    </row>
    <row r="75" spans="1:16" s="22" customFormat="1" ht="30" customHeight="1" x14ac:dyDescent="0.45">
      <c r="A75" s="23" t="s">
        <v>35</v>
      </c>
      <c r="B75" s="20">
        <v>100000</v>
      </c>
      <c r="C75" s="20">
        <v>100000</v>
      </c>
      <c r="D75" s="20">
        <v>100000</v>
      </c>
      <c r="E75" s="20">
        <v>105000</v>
      </c>
      <c r="F75" s="20">
        <v>110000</v>
      </c>
      <c r="G75" s="20">
        <v>120000</v>
      </c>
      <c r="H75" s="21">
        <v>120000</v>
      </c>
      <c r="I75" s="20">
        <v>136813.9</v>
      </c>
      <c r="J75" s="20">
        <v>141561.29999999999</v>
      </c>
      <c r="K75" s="20">
        <v>109523.8</v>
      </c>
      <c r="L75" s="20">
        <v>102979.1</v>
      </c>
      <c r="M75" s="20">
        <v>109654.7</v>
      </c>
      <c r="N75" s="20">
        <v>110145</v>
      </c>
      <c r="O75" s="20">
        <f>SUM(B75:N75)</f>
        <v>1465677.8</v>
      </c>
      <c r="P75" s="23" t="s">
        <v>35</v>
      </c>
    </row>
    <row r="76" spans="1:16" s="2" customFormat="1" ht="30" customHeight="1" x14ac:dyDescent="0.45">
      <c r="A76" s="9" t="s">
        <v>36</v>
      </c>
      <c r="B76" s="15">
        <f t="shared" ref="B76:N76" si="51">B75*1.01</f>
        <v>101000</v>
      </c>
      <c r="C76" s="15">
        <f t="shared" si="51"/>
        <v>101000</v>
      </c>
      <c r="D76" s="15">
        <f t="shared" si="51"/>
        <v>101000</v>
      </c>
      <c r="E76" s="15">
        <f t="shared" si="51"/>
        <v>106050</v>
      </c>
      <c r="F76" s="15">
        <f t="shared" si="51"/>
        <v>111100</v>
      </c>
      <c r="G76" s="15">
        <f t="shared" si="51"/>
        <v>121200</v>
      </c>
      <c r="H76" s="15">
        <f>H75*1.01</f>
        <v>121200</v>
      </c>
      <c r="I76" s="15">
        <f>I75*0.9</f>
        <v>123132.51</v>
      </c>
      <c r="J76" s="15">
        <f>J75*0.9</f>
        <v>127405.17</v>
      </c>
      <c r="K76" s="15">
        <f t="shared" si="51"/>
        <v>110619.038</v>
      </c>
      <c r="L76" s="15">
        <f t="shared" si="51"/>
        <v>104008.891</v>
      </c>
      <c r="M76" s="15">
        <f t="shared" si="51"/>
        <v>110751.247</v>
      </c>
      <c r="N76" s="15">
        <f t="shared" si="51"/>
        <v>111246.45</v>
      </c>
      <c r="O76" s="15">
        <f>SUM(B76:N76)</f>
        <v>1449713.3060000001</v>
      </c>
      <c r="P76" s="9" t="s">
        <v>36</v>
      </c>
    </row>
    <row r="77" spans="1:16" s="2" customFormat="1" ht="30" customHeight="1" x14ac:dyDescent="0.45">
      <c r="A77" s="10" t="s">
        <v>22</v>
      </c>
      <c r="B77" s="15">
        <f>B76*0.39</f>
        <v>39390</v>
      </c>
      <c r="C77" s="15">
        <f t="shared" ref="C77:N77" si="52">C76*0.39</f>
        <v>39390</v>
      </c>
      <c r="D77" s="15">
        <f t="shared" si="52"/>
        <v>39390</v>
      </c>
      <c r="E77" s="15">
        <f t="shared" si="52"/>
        <v>41359.5</v>
      </c>
      <c r="F77" s="15">
        <f t="shared" si="52"/>
        <v>43329</v>
      </c>
      <c r="G77" s="15">
        <f t="shared" si="52"/>
        <v>47268</v>
      </c>
      <c r="H77" s="15">
        <f t="shared" si="52"/>
        <v>47268</v>
      </c>
      <c r="I77" s="15">
        <f t="shared" si="52"/>
        <v>48021.678899999999</v>
      </c>
      <c r="J77" s="15">
        <f t="shared" si="52"/>
        <v>49688.016300000003</v>
      </c>
      <c r="K77" s="15">
        <f t="shared" si="52"/>
        <v>43141.42482</v>
      </c>
      <c r="L77" s="15">
        <f t="shared" si="52"/>
        <v>40563.467490000003</v>
      </c>
      <c r="M77" s="15">
        <f t="shared" si="52"/>
        <v>43192.98633</v>
      </c>
      <c r="N77" s="15">
        <f t="shared" si="52"/>
        <v>43386.1155</v>
      </c>
      <c r="O77" s="15">
        <f>SUM(B77:N77)</f>
        <v>565388.18934000004</v>
      </c>
      <c r="P77" s="10" t="s">
        <v>22</v>
      </c>
    </row>
    <row r="78" spans="1:16" s="11" customFormat="1" ht="30" customHeight="1" thickBot="1" x14ac:dyDescent="0.5">
      <c r="A78" s="10" t="s">
        <v>55</v>
      </c>
      <c r="B78" s="15">
        <f>B76*0.29</f>
        <v>29289.999999999996</v>
      </c>
      <c r="C78" s="15">
        <f t="shared" ref="C78:N78" si="53">C76*0.29</f>
        <v>29289.999999999996</v>
      </c>
      <c r="D78" s="15">
        <f t="shared" si="53"/>
        <v>29289.999999999996</v>
      </c>
      <c r="E78" s="15">
        <f t="shared" si="53"/>
        <v>30754.499999999996</v>
      </c>
      <c r="F78" s="15">
        <f t="shared" si="53"/>
        <v>32218.999999999996</v>
      </c>
      <c r="G78" s="15">
        <f t="shared" si="53"/>
        <v>35148</v>
      </c>
      <c r="H78" s="15">
        <f t="shared" si="53"/>
        <v>35148</v>
      </c>
      <c r="I78" s="15">
        <f t="shared" si="53"/>
        <v>35708.427899999995</v>
      </c>
      <c r="J78" s="15">
        <f t="shared" si="53"/>
        <v>36947.499299999996</v>
      </c>
      <c r="K78" s="15">
        <f t="shared" si="53"/>
        <v>32079.521019999996</v>
      </c>
      <c r="L78" s="15">
        <f t="shared" si="53"/>
        <v>30162.578389999999</v>
      </c>
      <c r="M78" s="15">
        <f t="shared" si="53"/>
        <v>32117.861629999999</v>
      </c>
      <c r="N78" s="15">
        <f t="shared" si="53"/>
        <v>32261.470499999996</v>
      </c>
      <c r="O78" s="15">
        <f>SUM(B78:N78)</f>
        <v>420416.85873999988</v>
      </c>
      <c r="P78" s="10" t="s">
        <v>55</v>
      </c>
    </row>
    <row r="79" spans="1:16" s="2" customFormat="1" ht="30" customHeight="1" thickBot="1" x14ac:dyDescent="0.5">
      <c r="A79" s="18" t="s">
        <v>48</v>
      </c>
      <c r="B79" s="60">
        <f>B76-B77-B78</f>
        <v>32320.000000000004</v>
      </c>
      <c r="C79" s="61">
        <f t="shared" ref="C79:N79" si="54">C76-C77-C78</f>
        <v>32320.000000000004</v>
      </c>
      <c r="D79" s="61">
        <f t="shared" si="54"/>
        <v>32320.000000000004</v>
      </c>
      <c r="E79" s="61">
        <f t="shared" si="54"/>
        <v>33936</v>
      </c>
      <c r="F79" s="61">
        <f t="shared" si="54"/>
        <v>35552</v>
      </c>
      <c r="G79" s="61">
        <f t="shared" si="54"/>
        <v>38784</v>
      </c>
      <c r="H79" s="61">
        <f t="shared" si="54"/>
        <v>38784</v>
      </c>
      <c r="I79" s="61">
        <f t="shared" si="54"/>
        <v>39402.403200000001</v>
      </c>
      <c r="J79" s="61">
        <f t="shared" si="54"/>
        <v>40769.654399999999</v>
      </c>
      <c r="K79" s="61">
        <f t="shared" si="54"/>
        <v>35398.09216</v>
      </c>
      <c r="L79" s="61">
        <f t="shared" si="54"/>
        <v>33282.845119999998</v>
      </c>
      <c r="M79" s="61">
        <f t="shared" si="54"/>
        <v>35440.399040000004</v>
      </c>
      <c r="N79" s="62">
        <f t="shared" si="54"/>
        <v>35598.864000000001</v>
      </c>
      <c r="O79" s="64">
        <f>O76-O77-O78</f>
        <v>463908.25792000018</v>
      </c>
      <c r="P79" s="18" t="s">
        <v>57</v>
      </c>
    </row>
    <row r="80" spans="1:16" s="2" customFormat="1" ht="30" customHeight="1" thickBot="1" x14ac:dyDescent="0.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63"/>
      <c r="O80" s="16"/>
    </row>
    <row r="81" spans="1:16" s="2" customFormat="1" ht="30" customHeight="1" thickBot="1" x14ac:dyDescent="0.5">
      <c r="A81" s="71" t="s">
        <v>2</v>
      </c>
      <c r="B81" s="3" t="s">
        <v>8</v>
      </c>
      <c r="C81" s="3" t="s">
        <v>9</v>
      </c>
      <c r="D81" s="3" t="s">
        <v>10</v>
      </c>
      <c r="E81" s="4" t="s">
        <v>11</v>
      </c>
      <c r="F81" s="3" t="s">
        <v>12</v>
      </c>
      <c r="G81" s="5" t="s">
        <v>13</v>
      </c>
      <c r="H81" s="6" t="s">
        <v>14</v>
      </c>
      <c r="I81" s="7" t="s">
        <v>15</v>
      </c>
      <c r="J81" s="8" t="s">
        <v>16</v>
      </c>
      <c r="K81" s="8" t="s">
        <v>17</v>
      </c>
      <c r="L81" s="8" t="s">
        <v>18</v>
      </c>
      <c r="M81" s="8" t="s">
        <v>19</v>
      </c>
      <c r="N81" s="8" t="s">
        <v>20</v>
      </c>
      <c r="O81" s="3" t="s">
        <v>21</v>
      </c>
      <c r="P81" s="18" t="s">
        <v>2</v>
      </c>
    </row>
    <row r="82" spans="1:16" s="22" customFormat="1" ht="30" customHeight="1" x14ac:dyDescent="0.45">
      <c r="A82" s="23" t="s">
        <v>27</v>
      </c>
      <c r="B82" s="20">
        <v>11545</v>
      </c>
      <c r="C82" s="20">
        <v>11304.4</v>
      </c>
      <c r="D82" s="20">
        <v>10563.6</v>
      </c>
      <c r="E82" s="20">
        <v>11041</v>
      </c>
      <c r="F82" s="20">
        <v>12218</v>
      </c>
      <c r="G82" s="20">
        <v>12889</v>
      </c>
      <c r="H82" s="21">
        <v>14337.2</v>
      </c>
      <c r="I82" s="20">
        <v>13086.7</v>
      </c>
      <c r="J82" s="20">
        <v>12272</v>
      </c>
      <c r="K82" s="20">
        <v>10969.3</v>
      </c>
      <c r="L82" s="20">
        <v>11422.6</v>
      </c>
      <c r="M82" s="20">
        <v>9347.7999999999993</v>
      </c>
      <c r="N82" s="20">
        <v>9747.4</v>
      </c>
      <c r="O82" s="20">
        <f>SUM(B82:N82)</f>
        <v>150743.99999999997</v>
      </c>
      <c r="P82" s="21"/>
    </row>
    <row r="83" spans="1:16" s="2" customFormat="1" ht="30" customHeight="1" x14ac:dyDescent="0.45">
      <c r="A83" s="9" t="s">
        <v>29</v>
      </c>
      <c r="B83" s="15">
        <f t="shared" ref="B83:N83" si="55">B82*1.01</f>
        <v>11660.45</v>
      </c>
      <c r="C83" s="15">
        <f t="shared" si="55"/>
        <v>11417.444</v>
      </c>
      <c r="D83" s="15">
        <f t="shared" si="55"/>
        <v>10669.236000000001</v>
      </c>
      <c r="E83" s="15">
        <f t="shared" si="55"/>
        <v>11151.41</v>
      </c>
      <c r="F83" s="15">
        <f t="shared" si="55"/>
        <v>12340.18</v>
      </c>
      <c r="G83" s="15">
        <f t="shared" si="55"/>
        <v>13017.89</v>
      </c>
      <c r="H83" s="15">
        <f t="shared" si="55"/>
        <v>14480.572</v>
      </c>
      <c r="I83" s="15">
        <f t="shared" si="55"/>
        <v>13217.567000000001</v>
      </c>
      <c r="J83" s="15">
        <f t="shared" si="55"/>
        <v>12394.72</v>
      </c>
      <c r="K83" s="15">
        <f t="shared" si="55"/>
        <v>11078.992999999999</v>
      </c>
      <c r="L83" s="15">
        <f t="shared" si="55"/>
        <v>11536.826000000001</v>
      </c>
      <c r="M83" s="15">
        <f t="shared" si="55"/>
        <v>9441.2780000000002</v>
      </c>
      <c r="N83" s="15">
        <f t="shared" si="55"/>
        <v>9844.8739999999998</v>
      </c>
      <c r="O83" s="15">
        <f t="shared" ref="O83:O85" si="56">SUM(B83:N83)</f>
        <v>152251.44</v>
      </c>
      <c r="P83" s="9" t="s">
        <v>3</v>
      </c>
    </row>
    <row r="84" spans="1:16" s="2" customFormat="1" ht="30" customHeight="1" x14ac:dyDescent="0.45">
      <c r="A84" s="10" t="s">
        <v>24</v>
      </c>
      <c r="B84" s="15">
        <f>B83*0.4</f>
        <v>4664.18</v>
      </c>
      <c r="C84" s="15">
        <f t="shared" ref="C84" si="57">C83*0.4</f>
        <v>4566.9776000000002</v>
      </c>
      <c r="D84" s="15">
        <f t="shared" ref="D84" si="58">D83*0.4</f>
        <v>4267.6944000000003</v>
      </c>
      <c r="E84" s="15">
        <f t="shared" ref="E84" si="59">E83*0.4</f>
        <v>4460.5640000000003</v>
      </c>
      <c r="F84" s="15">
        <f t="shared" ref="F84" si="60">F83*0.4</f>
        <v>4936.0720000000001</v>
      </c>
      <c r="G84" s="15">
        <f t="shared" ref="G84" si="61">G83*0.4</f>
        <v>5207.1559999999999</v>
      </c>
      <c r="H84" s="15">
        <f t="shared" ref="H84" si="62">H83*0.4</f>
        <v>5792.2288000000008</v>
      </c>
      <c r="I84" s="15">
        <f t="shared" ref="I84" si="63">I83*0.4</f>
        <v>5287.0268000000005</v>
      </c>
      <c r="J84" s="15">
        <f t="shared" ref="J84" si="64">J83*0.4</f>
        <v>4957.8879999999999</v>
      </c>
      <c r="K84" s="15">
        <f t="shared" ref="K84" si="65">K83*0.4</f>
        <v>4431.5971999999992</v>
      </c>
      <c r="L84" s="15">
        <f t="shared" ref="L84" si="66">L83*0.4</f>
        <v>4614.7304000000004</v>
      </c>
      <c r="M84" s="15">
        <f t="shared" ref="M84" si="67">M83*0.4</f>
        <v>3776.5112000000004</v>
      </c>
      <c r="N84" s="15">
        <f t="shared" ref="N84" si="68">N83*0.4</f>
        <v>3937.9495999999999</v>
      </c>
      <c r="O84" s="15">
        <f t="shared" si="56"/>
        <v>60900.575999999994</v>
      </c>
      <c r="P84" s="10" t="s">
        <v>24</v>
      </c>
    </row>
    <row r="85" spans="1:16" s="2" customFormat="1" ht="30" customHeight="1" thickBot="1" x14ac:dyDescent="0.5">
      <c r="A85" s="10" t="s">
        <v>65</v>
      </c>
      <c r="B85" s="15">
        <f>B83*0.36</f>
        <v>4197.7619999999997</v>
      </c>
      <c r="C85" s="15">
        <f t="shared" ref="C85:N85" si="69">C83*0.36</f>
        <v>4110.2798399999992</v>
      </c>
      <c r="D85" s="15">
        <f t="shared" si="69"/>
        <v>3840.9249600000003</v>
      </c>
      <c r="E85" s="15">
        <f t="shared" si="69"/>
        <v>4014.5075999999999</v>
      </c>
      <c r="F85" s="15">
        <f t="shared" si="69"/>
        <v>4442.4647999999997</v>
      </c>
      <c r="G85" s="15">
        <f t="shared" si="69"/>
        <v>4686.4403999999995</v>
      </c>
      <c r="H85" s="15">
        <f t="shared" si="69"/>
        <v>5213.0059199999996</v>
      </c>
      <c r="I85" s="15">
        <f t="shared" si="69"/>
        <v>4758.3241200000002</v>
      </c>
      <c r="J85" s="15">
        <f t="shared" si="69"/>
        <v>4462.0991999999997</v>
      </c>
      <c r="K85" s="15">
        <f t="shared" si="69"/>
        <v>3988.4374799999991</v>
      </c>
      <c r="L85" s="15">
        <f t="shared" si="69"/>
        <v>4153.2573600000005</v>
      </c>
      <c r="M85" s="15">
        <f t="shared" si="69"/>
        <v>3398.8600799999999</v>
      </c>
      <c r="N85" s="15">
        <f t="shared" si="69"/>
        <v>3544.1546399999997</v>
      </c>
      <c r="O85" s="15">
        <f t="shared" si="56"/>
        <v>54810.518400000001</v>
      </c>
      <c r="P85" s="10" t="s">
        <v>65</v>
      </c>
    </row>
    <row r="86" spans="1:16" s="2" customFormat="1" ht="30" customHeight="1" thickBot="1" x14ac:dyDescent="0.5">
      <c r="A86" s="18" t="s">
        <v>48</v>
      </c>
      <c r="B86" s="60">
        <f>B83-B84-B85</f>
        <v>2798.5080000000007</v>
      </c>
      <c r="C86" s="61">
        <f t="shared" ref="C86:N86" si="70">C83-C84-C85</f>
        <v>2740.1865600000001</v>
      </c>
      <c r="D86" s="61">
        <f t="shared" si="70"/>
        <v>2560.6166400000002</v>
      </c>
      <c r="E86" s="61">
        <f t="shared" si="70"/>
        <v>2676.3383999999996</v>
      </c>
      <c r="F86" s="61">
        <f t="shared" si="70"/>
        <v>2961.6432000000004</v>
      </c>
      <c r="G86" s="61">
        <f t="shared" si="70"/>
        <v>3124.2936</v>
      </c>
      <c r="H86" s="61">
        <f t="shared" si="70"/>
        <v>3475.3372799999997</v>
      </c>
      <c r="I86" s="61">
        <f t="shared" si="70"/>
        <v>3172.2160800000001</v>
      </c>
      <c r="J86" s="61">
        <f t="shared" si="70"/>
        <v>2974.7327999999998</v>
      </c>
      <c r="K86" s="61">
        <f t="shared" si="70"/>
        <v>2658.9583200000002</v>
      </c>
      <c r="L86" s="61">
        <f t="shared" si="70"/>
        <v>2768.83824</v>
      </c>
      <c r="M86" s="61">
        <f t="shared" si="70"/>
        <v>2265.9067199999995</v>
      </c>
      <c r="N86" s="62">
        <f t="shared" si="70"/>
        <v>2362.7697600000001</v>
      </c>
      <c r="O86" s="64">
        <f>O83-O84-O85</f>
        <v>36540.345600000001</v>
      </c>
      <c r="P86" s="18" t="s">
        <v>48</v>
      </c>
    </row>
    <row r="87" spans="1:16" s="22" customFormat="1" ht="30" customHeight="1" x14ac:dyDescent="0.45">
      <c r="A87" s="23" t="s">
        <v>42</v>
      </c>
      <c r="B87" s="20">
        <v>20307.7</v>
      </c>
      <c r="C87" s="20">
        <v>22151.8</v>
      </c>
      <c r="D87" s="20">
        <v>20234.400000000001</v>
      </c>
      <c r="E87" s="20">
        <v>20507.2</v>
      </c>
      <c r="F87" s="20">
        <v>22649.8</v>
      </c>
      <c r="G87" s="20">
        <v>23924.9</v>
      </c>
      <c r="H87" s="21">
        <v>22458.9</v>
      </c>
      <c r="I87" s="20">
        <v>21320.7</v>
      </c>
      <c r="J87" s="20">
        <v>21894</v>
      </c>
      <c r="K87" s="20">
        <v>23281.5</v>
      </c>
      <c r="L87" s="20">
        <v>25462</v>
      </c>
      <c r="M87" s="20">
        <v>23893.4</v>
      </c>
      <c r="N87" s="20">
        <v>23278.9</v>
      </c>
      <c r="O87" s="20">
        <f>SUM(B87:N87)</f>
        <v>291365.20000000007</v>
      </c>
      <c r="P87" s="21"/>
    </row>
    <row r="88" spans="1:16" ht="32.5" customHeight="1" x14ac:dyDescent="0.45">
      <c r="A88" s="9" t="s">
        <v>43</v>
      </c>
      <c r="B88" s="15">
        <f t="shared" ref="B88:N88" si="71">B87*1.01</f>
        <v>20510.777000000002</v>
      </c>
      <c r="C88" s="15">
        <f t="shared" si="71"/>
        <v>22373.317999999999</v>
      </c>
      <c r="D88" s="15">
        <f t="shared" si="71"/>
        <v>20436.744000000002</v>
      </c>
      <c r="E88" s="15">
        <f t="shared" si="71"/>
        <v>20712.272000000001</v>
      </c>
      <c r="F88" s="15">
        <f t="shared" si="71"/>
        <v>22876.297999999999</v>
      </c>
      <c r="G88" s="15">
        <f t="shared" si="71"/>
        <v>24164.149000000001</v>
      </c>
      <c r="H88" s="15">
        <f t="shared" si="71"/>
        <v>22683.489000000001</v>
      </c>
      <c r="I88" s="15">
        <f t="shared" si="71"/>
        <v>21533.906999999999</v>
      </c>
      <c r="J88" s="15">
        <f t="shared" si="71"/>
        <v>22112.94</v>
      </c>
      <c r="K88" s="15">
        <f t="shared" si="71"/>
        <v>23514.314999999999</v>
      </c>
      <c r="L88" s="15">
        <f t="shared" si="71"/>
        <v>25716.62</v>
      </c>
      <c r="M88" s="15">
        <f t="shared" si="71"/>
        <v>24132.334000000003</v>
      </c>
      <c r="N88" s="15">
        <f t="shared" si="71"/>
        <v>23511.689000000002</v>
      </c>
      <c r="O88" s="15">
        <f t="shared" ref="O88:O90" si="72">SUM(B88:N88)</f>
        <v>294278.85200000001</v>
      </c>
      <c r="P88" s="9" t="s">
        <v>7</v>
      </c>
    </row>
    <row r="89" spans="1:16" ht="32.5" customHeight="1" x14ac:dyDescent="0.45">
      <c r="A89" s="10" t="s">
        <v>24</v>
      </c>
      <c r="B89" s="15">
        <f>B88*0.4</f>
        <v>8204.3108000000011</v>
      </c>
      <c r="C89" s="15">
        <f t="shared" ref="C89:N89" si="73">C88*0.4</f>
        <v>8949.3271999999997</v>
      </c>
      <c r="D89" s="15">
        <f t="shared" si="73"/>
        <v>8174.6976000000013</v>
      </c>
      <c r="E89" s="15">
        <f t="shared" si="73"/>
        <v>8284.9088000000011</v>
      </c>
      <c r="F89" s="15">
        <f t="shared" si="73"/>
        <v>9150.5192000000006</v>
      </c>
      <c r="G89" s="15">
        <f t="shared" si="73"/>
        <v>9665.6596000000009</v>
      </c>
      <c r="H89" s="15">
        <f t="shared" si="73"/>
        <v>9073.3956000000017</v>
      </c>
      <c r="I89" s="15">
        <f t="shared" si="73"/>
        <v>8613.5627999999997</v>
      </c>
      <c r="J89" s="15">
        <f t="shared" si="73"/>
        <v>8845.1759999999995</v>
      </c>
      <c r="K89" s="15">
        <f t="shared" si="73"/>
        <v>9405.7260000000006</v>
      </c>
      <c r="L89" s="15">
        <f t="shared" si="73"/>
        <v>10286.648000000001</v>
      </c>
      <c r="M89" s="15">
        <f t="shared" si="73"/>
        <v>9652.9336000000021</v>
      </c>
      <c r="N89" s="15">
        <f t="shared" si="73"/>
        <v>9404.6756000000005</v>
      </c>
      <c r="O89" s="15">
        <f t="shared" si="72"/>
        <v>117711.5408</v>
      </c>
      <c r="P89" s="10" t="s">
        <v>24</v>
      </c>
    </row>
    <row r="90" spans="1:16" ht="32.5" customHeight="1" thickBot="1" x14ac:dyDescent="0.5">
      <c r="A90" s="10" t="s">
        <v>65</v>
      </c>
      <c r="B90" s="15">
        <f>B88*0.36</f>
        <v>7383.8797200000008</v>
      </c>
      <c r="C90" s="15">
        <f t="shared" ref="C90:N90" si="74">C88*0.36</f>
        <v>8054.394479999999</v>
      </c>
      <c r="D90" s="15">
        <f t="shared" si="74"/>
        <v>7357.2278400000005</v>
      </c>
      <c r="E90" s="15">
        <f t="shared" si="74"/>
        <v>7456.4179199999999</v>
      </c>
      <c r="F90" s="15">
        <f t="shared" si="74"/>
        <v>8235.4672799999989</v>
      </c>
      <c r="G90" s="15">
        <f t="shared" si="74"/>
        <v>8699.093640000001</v>
      </c>
      <c r="H90" s="15">
        <f t="shared" si="74"/>
        <v>8166.0560400000004</v>
      </c>
      <c r="I90" s="15">
        <f t="shared" si="74"/>
        <v>7752.2065199999997</v>
      </c>
      <c r="J90" s="15">
        <f t="shared" si="74"/>
        <v>7960.6583999999993</v>
      </c>
      <c r="K90" s="15">
        <f t="shared" si="74"/>
        <v>8465.1533999999992</v>
      </c>
      <c r="L90" s="15">
        <f t="shared" si="74"/>
        <v>9257.9831999999988</v>
      </c>
      <c r="M90" s="15">
        <f t="shared" si="74"/>
        <v>8687.6402400000006</v>
      </c>
      <c r="N90" s="15">
        <f t="shared" si="74"/>
        <v>8464.2080400000013</v>
      </c>
      <c r="O90" s="15">
        <f t="shared" si="72"/>
        <v>105940.38671999998</v>
      </c>
      <c r="P90" s="10" t="s">
        <v>65</v>
      </c>
    </row>
    <row r="91" spans="1:16" s="2" customFormat="1" ht="30" customHeight="1" thickBot="1" x14ac:dyDescent="0.5">
      <c r="A91" s="18" t="s">
        <v>48</v>
      </c>
      <c r="B91" s="60">
        <f>B88-B89-B90</f>
        <v>4922.5864799999999</v>
      </c>
      <c r="C91" s="61">
        <f t="shared" ref="C91:N91" si="75">C88-C89-C90</f>
        <v>5369.5963200000006</v>
      </c>
      <c r="D91" s="61">
        <f t="shared" si="75"/>
        <v>4904.8185600000006</v>
      </c>
      <c r="E91" s="61">
        <f t="shared" si="75"/>
        <v>4970.9452799999999</v>
      </c>
      <c r="F91" s="61">
        <f t="shared" si="75"/>
        <v>5490.3115199999993</v>
      </c>
      <c r="G91" s="61">
        <f t="shared" si="75"/>
        <v>5799.3957599999994</v>
      </c>
      <c r="H91" s="61">
        <f t="shared" si="75"/>
        <v>5444.0373599999994</v>
      </c>
      <c r="I91" s="61">
        <f t="shared" si="75"/>
        <v>5168.1376799999998</v>
      </c>
      <c r="J91" s="61">
        <f t="shared" si="75"/>
        <v>5307.1055999999999</v>
      </c>
      <c r="K91" s="61">
        <f t="shared" si="75"/>
        <v>5643.4355999999989</v>
      </c>
      <c r="L91" s="61">
        <f t="shared" si="75"/>
        <v>6171.9887999999992</v>
      </c>
      <c r="M91" s="61">
        <f t="shared" si="75"/>
        <v>5791.7601599999998</v>
      </c>
      <c r="N91" s="62">
        <f t="shared" si="75"/>
        <v>5642.8053600000003</v>
      </c>
      <c r="O91" s="64">
        <f>O88-O89-O90</f>
        <v>70626.924480000016</v>
      </c>
      <c r="P91" s="18" t="s">
        <v>48</v>
      </c>
    </row>
    <row r="92" spans="1:16" s="2" customFormat="1" ht="30" customHeight="1" x14ac:dyDescent="0.4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63"/>
      <c r="O92" s="1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Sales &amp; Cogs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Blackmore</dc:creator>
  <cp:lastModifiedBy>John Blackmore</cp:lastModifiedBy>
  <cp:lastPrinted>2023-11-09T15:04:47Z</cp:lastPrinted>
  <dcterms:created xsi:type="dcterms:W3CDTF">2023-09-22T01:17:32Z</dcterms:created>
  <dcterms:modified xsi:type="dcterms:W3CDTF">2025-02-28T16:20:59Z</dcterms:modified>
</cp:coreProperties>
</file>